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расх.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<sst xmlns="http://schemas.openxmlformats.org/spreadsheetml/2006/main" count="86" uniqueCount="80">
  <si>
    <t>Расходы учреждения в 2023 году</t>
  </si>
  <si>
    <t>МКДОУ № 7 пгт. Вахруши</t>
  </si>
  <si>
    <t>ассигнования</t>
  </si>
  <si>
    <t>передв.</t>
  </si>
  <si>
    <t>расход</t>
  </si>
  <si>
    <t>остаток</t>
  </si>
  <si>
    <t>903-0701-0110082010-244-221</t>
  </si>
  <si>
    <t>Услуги связи 650 руб.*12мес</t>
  </si>
  <si>
    <t>Интернет 600 руб.*12 мес.</t>
  </si>
  <si>
    <t>903-0701-0110082010-112-222</t>
  </si>
  <si>
    <t>Маршрутные листы</t>
  </si>
  <si>
    <t>903-0701-0110082010-112-226</t>
  </si>
  <si>
    <t>Медосмотр авансовый отчет</t>
  </si>
  <si>
    <t>итого</t>
  </si>
  <si>
    <t>903-0701-0110082010-247-223.01                                   отопление</t>
  </si>
  <si>
    <t>903-0701-0110082010-247-223.03 электроэнергия</t>
  </si>
  <si>
    <t>903-0701-0110082010-244-223.04 водоснабжение</t>
  </si>
  <si>
    <t>903-0701-0110082010-244-223.05 водоотведение</t>
  </si>
  <si>
    <t>903-0701-0110082010-244-223.07                           вывоз мусора</t>
  </si>
  <si>
    <r>
      <rPr>
        <b/>
        <u/>
        <sz val="10"/>
        <rFont val="Arial Cyr"/>
        <charset val="204"/>
      </rPr>
      <t>903-0702-0120082020-244-223.08</t>
    </r>
    <r>
      <rPr>
        <b/>
        <sz val="10"/>
        <rFont val="Arial Cyr"/>
        <charset val="204"/>
      </rPr>
      <t xml:space="preserve"> Плата за сброс загрязняющих веществ в систему мун.канализации, плата за негативное воздействие сточных вод на работу централизованной системы водоотведения</t>
    </r>
  </si>
  <si>
    <t>итого 223</t>
  </si>
  <si>
    <t>903-0701-0110082010-244-225</t>
  </si>
  <si>
    <t xml:space="preserve">Услуги прачечной </t>
  </si>
  <si>
    <t xml:space="preserve">Проверка ОП, перезарядка огнетушителей (замена шланга) </t>
  </si>
  <si>
    <t>Антиклещевая обработка территории</t>
  </si>
  <si>
    <t>Уничтожение грызунов 426,17 руб.*11 мес</t>
  </si>
  <si>
    <t>Заправка картриджей, ремонт картриджа</t>
  </si>
  <si>
    <t>Испытание электрооборудования</t>
  </si>
  <si>
    <t>Техническое обслуживание охранной сигнализации, обслуживание АПС 5000 руб * 12мес</t>
  </si>
  <si>
    <t>Санитарно-бактериалогическое исследование продуктов питания</t>
  </si>
  <si>
    <t>Огребка кровли, территории от снега, вывоз снега с территории</t>
  </si>
  <si>
    <t>Поверка весов</t>
  </si>
  <si>
    <t>Качество огнезащитной обработки</t>
  </si>
  <si>
    <t>Работы по чистке канализации в здании д сада</t>
  </si>
  <si>
    <t>Ремонтные работы, ремонт отопления и водоснабжения</t>
  </si>
  <si>
    <t>работы по демонтажу и установке новой электрической плиты в здании</t>
  </si>
  <si>
    <t>Работы по отключению датчиков температуры в здании, работы по протяжке контактов в электрощите в здании</t>
  </si>
  <si>
    <t xml:space="preserve">Работы по восстановлению эл. Снабжения в здании детского сада </t>
  </si>
  <si>
    <t>Промывка и опрессовка системы отопления</t>
  </si>
  <si>
    <t>Ремонт системы водоснабжения</t>
  </si>
  <si>
    <t>всего 225</t>
  </si>
  <si>
    <t>903-0701-0110082010-244-226</t>
  </si>
  <si>
    <t xml:space="preserve">Медосмотр сотрудников </t>
  </si>
  <si>
    <t xml:space="preserve">Санминимум, гиг. обучение и аттест-я должн. лиц </t>
  </si>
  <si>
    <t>Обучение по охр.труда и ТБ, ПТМ, услуги по обучению по доп. профессиональной программе "Менеджмент в образовании"</t>
  </si>
  <si>
    <t>Услуги охраны объектов 792,24 * 12 мес</t>
  </si>
  <si>
    <t>Подписка на газету" Кировская правда"</t>
  </si>
  <si>
    <t>Создание, настройка сайтов</t>
  </si>
  <si>
    <t>Лабораторные исследования</t>
  </si>
  <si>
    <t>всего 226</t>
  </si>
  <si>
    <t>903-0701-01100S5480-244-310</t>
  </si>
  <si>
    <t>Оборудование объектов системой оповещения</t>
  </si>
  <si>
    <t>903-0701-0110015480-244-310</t>
  </si>
  <si>
    <t>903-0701-0110082010-244-310</t>
  </si>
  <si>
    <t>Светильники, рециркулятор</t>
  </si>
  <si>
    <t>Извещатели</t>
  </si>
  <si>
    <t>итого 310:</t>
  </si>
  <si>
    <t>903-0701-0110082010-244-346</t>
  </si>
  <si>
    <t>Канцтовары, бумага</t>
  </si>
  <si>
    <t>Моющие средства, средства личной гигиены.</t>
  </si>
  <si>
    <t>Хозтовары, маски, перчатки</t>
  </si>
  <si>
    <t>Электротовары</t>
  </si>
  <si>
    <t>Меню-требование, накладные, накопит. ведомость, бракеражный журнал</t>
  </si>
  <si>
    <t>Посуда, кастрюля</t>
  </si>
  <si>
    <t>итого 346</t>
  </si>
  <si>
    <t>903-0701-0110082010-244-344</t>
  </si>
  <si>
    <t>Строительно-отделочные материалы, сантехнические и электротехнические материалы</t>
  </si>
  <si>
    <t>итого 344</t>
  </si>
  <si>
    <t>903-1003-0160016140-244-226</t>
  </si>
  <si>
    <t>Административные расходы 1%</t>
  </si>
  <si>
    <t>903-0701-011008201Б-851-291.09</t>
  </si>
  <si>
    <t>Налог на имущество</t>
  </si>
  <si>
    <t>итого 291.09:</t>
  </si>
  <si>
    <t>903-0701-011008201А-851-291.89</t>
  </si>
  <si>
    <t>ГОССТАНДАРТ (УЧЕБНЫЕ)</t>
  </si>
  <si>
    <t>903-0701-0110017140-244-310.88</t>
  </si>
  <si>
    <t>Приобретение игр,игрушек,учебников,столов детских,стульев детских</t>
  </si>
  <si>
    <t>итого:</t>
  </si>
  <si>
    <t>903-0701-0110017140-244-346.88</t>
  </si>
  <si>
    <t>Приобретение учебно-наглядных пособий, наборов игр, игрушек, канцтовары, конструкторы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</si>
</sst>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38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8"/>
      <color rgb="FFFF0000"/>
      <name val="Arial Cyr"/>
      <charset val="204"/>
    </font>
    <font>
      <sz val="9"/>
      <name val="Arial Cyr"/>
      <charset val="204"/>
    </font>
    <font>
      <sz val="9"/>
      <color rgb="FFFF0000"/>
      <name val="Arial Cyr"/>
      <charset val="204"/>
    </font>
    <font>
      <sz val="8"/>
      <color indexed="10"/>
      <name val="Arial Cyr"/>
      <charset val="204"/>
    </font>
    <font>
      <b/>
      <sz val="9"/>
      <name val="Arial Cyr"/>
      <charset val="204"/>
    </font>
    <font>
      <b/>
      <sz val="9"/>
      <color indexed="10"/>
      <name val="Arial Cyr"/>
      <charset val="204"/>
    </font>
    <font>
      <sz val="9"/>
      <color indexed="10"/>
      <name val="Arial Cyr"/>
      <charset val="204"/>
    </font>
    <font>
      <sz val="9"/>
      <color indexed="8"/>
      <name val="Arial Cyr"/>
      <charset val="204"/>
    </font>
    <font>
      <b/>
      <sz val="10"/>
      <color rgb="FFFF0000"/>
      <name val="Arial Cyr"/>
      <charset val="204"/>
    </font>
    <font>
      <sz val="9"/>
      <color theme="1"/>
      <name val="Arial"/>
      <charset val="204"/>
    </font>
    <font>
      <sz val="10"/>
      <color rgb="FFFF0000"/>
      <name val="Arial Cyr"/>
      <charset val="204"/>
    </font>
    <font>
      <b/>
      <sz val="9"/>
      <color rgb="FFFF0000"/>
      <name val="Arial Cyr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u/>
      <sz val="10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6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28" fillId="8" borderId="10" applyNumberFormat="0" applyAlignment="0" applyProtection="0">
      <alignment vertical="center"/>
    </xf>
    <xf numFmtId="0" fontId="29" fillId="9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</cellStyleXfs>
  <cellXfs count="1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/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80" fontId="1" fillId="3" borderId="2" xfId="0" applyNumberFormat="1" applyFont="1" applyFill="1" applyBorder="1"/>
    <xf numFmtId="180" fontId="4" fillId="3" borderId="1" xfId="0" applyNumberFormat="1" applyFont="1" applyFill="1" applyBorder="1"/>
    <xf numFmtId="180" fontId="2" fillId="3" borderId="1" xfId="0" applyNumberFormat="1" applyFont="1" applyFill="1" applyBorder="1"/>
    <xf numFmtId="180" fontId="2" fillId="2" borderId="1" xfId="0" applyNumberFormat="1" applyFont="1" applyFill="1" applyBorder="1"/>
    <xf numFmtId="0" fontId="5" fillId="0" borderId="1" xfId="0" applyFont="1" applyBorder="1"/>
    <xf numFmtId="180" fontId="0" fillId="0" borderId="1" xfId="0" applyNumberFormat="1" applyFont="1" applyBorder="1"/>
    <xf numFmtId="180" fontId="6" fillId="0" borderId="1" xfId="0" applyNumberFormat="1" applyFont="1" applyBorder="1"/>
    <xf numFmtId="180" fontId="5" fillId="0" borderId="1" xfId="0" applyNumberFormat="1" applyFont="1" applyFill="1" applyBorder="1"/>
    <xf numFmtId="180" fontId="5" fillId="0" borderId="1" xfId="0" applyNumberFormat="1" applyFont="1" applyBorder="1" applyAlignment="1">
      <alignment horizontal="right"/>
    </xf>
    <xf numFmtId="180" fontId="7" fillId="0" borderId="1" xfId="0" applyNumberFormat="1" applyFont="1" applyBorder="1"/>
    <xf numFmtId="180" fontId="5" fillId="0" borderId="1" xfId="0" applyNumberFormat="1" applyFont="1" applyBorder="1"/>
    <xf numFmtId="180" fontId="8" fillId="0" borderId="1" xfId="0" applyNumberFormat="1" applyFont="1" applyBorder="1"/>
    <xf numFmtId="180" fontId="9" fillId="0" borderId="1" xfId="0" applyNumberFormat="1" applyFont="1" applyBorder="1"/>
    <xf numFmtId="180" fontId="8" fillId="0" borderId="1" xfId="0" applyNumberFormat="1" applyFont="1" applyBorder="1" applyAlignment="1">
      <alignment horizontal="right"/>
    </xf>
    <xf numFmtId="180" fontId="10" fillId="0" borderId="1" xfId="0" applyNumberFormat="1" applyFont="1" applyBorder="1"/>
    <xf numFmtId="0" fontId="1" fillId="3" borderId="1" xfId="0" applyFont="1" applyFill="1" applyBorder="1" applyAlignment="1">
      <alignment horizontal="left"/>
    </xf>
    <xf numFmtId="180" fontId="5" fillId="3" borderId="1" xfId="0" applyNumberFormat="1" applyFont="1" applyFill="1" applyBorder="1" applyAlignment="1"/>
    <xf numFmtId="180" fontId="6" fillId="3" borderId="1" xfId="0" applyNumberFormat="1" applyFont="1" applyFill="1" applyBorder="1" applyAlignment="1"/>
    <xf numFmtId="180" fontId="5" fillId="3" borderId="1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horizontal="left"/>
    </xf>
    <xf numFmtId="180" fontId="5" fillId="0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49" fontId="5" fillId="0" borderId="4" xfId="0" applyNumberFormat="1" applyFont="1" applyBorder="1" applyAlignment="1">
      <alignment horizontal="left" wrapText="1"/>
    </xf>
    <xf numFmtId="180" fontId="5" fillId="0" borderId="4" xfId="0" applyNumberFormat="1" applyFont="1" applyBorder="1" applyAlignment="1">
      <alignment horizontal="center"/>
    </xf>
    <xf numFmtId="180" fontId="6" fillId="0" borderId="4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wrapText="1"/>
    </xf>
    <xf numFmtId="180" fontId="5" fillId="0" borderId="2" xfId="0" applyNumberFormat="1" applyFont="1" applyBorder="1" applyAlignment="1">
      <alignment horizontal="center"/>
    </xf>
    <xf numFmtId="180" fontId="6" fillId="0" borderId="2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left" wrapText="1"/>
    </xf>
    <xf numFmtId="180" fontId="5" fillId="0" borderId="1" xfId="0" applyNumberFormat="1" applyFont="1" applyFill="1" applyBorder="1" applyAlignment="1"/>
    <xf numFmtId="180" fontId="10" fillId="0" borderId="1" xfId="0" applyNumberFormat="1" applyFont="1" applyFill="1" applyBorder="1" applyAlignment="1">
      <alignment horizontal="right"/>
    </xf>
    <xf numFmtId="180" fontId="10" fillId="0" borderId="1" xfId="0" applyNumberFormat="1" applyFont="1" applyFill="1" applyBorder="1"/>
    <xf numFmtId="180" fontId="11" fillId="0" borderId="1" xfId="0" applyNumberFormat="1" applyFont="1" applyFill="1" applyBorder="1"/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right"/>
    </xf>
    <xf numFmtId="180" fontId="1" fillId="0" borderId="1" xfId="0" applyNumberFormat="1" applyFont="1" applyFill="1" applyBorder="1" applyAlignment="1">
      <alignment horizontal="right"/>
    </xf>
    <xf numFmtId="180" fontId="12" fillId="0" borderId="1" xfId="0" applyNumberFormat="1" applyFont="1" applyFill="1" applyBorder="1" applyAlignment="1">
      <alignment horizontal="right"/>
    </xf>
    <xf numFmtId="180" fontId="5" fillId="3" borderId="1" xfId="0" applyNumberFormat="1" applyFont="1" applyFill="1" applyBorder="1"/>
    <xf numFmtId="49" fontId="5" fillId="0" borderId="3" xfId="0" applyNumberFormat="1" applyFont="1" applyBorder="1" applyAlignment="1">
      <alignment wrapText="1"/>
    </xf>
    <xf numFmtId="180" fontId="6" fillId="0" borderId="1" xfId="0" applyNumberFormat="1" applyFont="1" applyFill="1" applyBorder="1" applyAlignment="1"/>
    <xf numFmtId="180" fontId="10" fillId="0" borderId="1" xfId="0" applyNumberFormat="1" applyFont="1" applyFill="1" applyBorder="1" applyAlignment="1"/>
    <xf numFmtId="49" fontId="5" fillId="0" borderId="3" xfId="0" applyNumberFormat="1" applyFont="1" applyFill="1" applyBorder="1" applyAlignment="1"/>
    <xf numFmtId="49" fontId="5" fillId="0" borderId="3" xfId="0" applyNumberFormat="1" applyFont="1" applyBorder="1" applyAlignment="1"/>
    <xf numFmtId="49" fontId="5" fillId="0" borderId="3" xfId="0" applyNumberFormat="1" applyFont="1" applyBorder="1" applyAlignment="1">
      <alignment horizontal="left" wrapText="1"/>
    </xf>
    <xf numFmtId="180" fontId="5" fillId="4" borderId="1" xfId="0" applyNumberFormat="1" applyFont="1" applyFill="1" applyBorder="1" applyAlignment="1"/>
    <xf numFmtId="180" fontId="0" fillId="0" borderId="1" xfId="0" applyNumberFormat="1" applyFont="1" applyFill="1" applyBorder="1" applyAlignment="1">
      <alignment horizontal="right"/>
    </xf>
    <xf numFmtId="0" fontId="13" fillId="0" borderId="3" xfId="0" applyNumberFormat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49" fontId="1" fillId="0" borderId="3" xfId="0" applyNumberFormat="1" applyFont="1" applyFill="1" applyBorder="1" applyAlignment="1">
      <alignment horizontal="right"/>
    </xf>
    <xf numFmtId="180" fontId="1" fillId="0" borderId="1" xfId="0" applyNumberFormat="1" applyFont="1" applyFill="1" applyBorder="1"/>
    <xf numFmtId="180" fontId="2" fillId="2" borderId="1" xfId="0" applyNumberFormat="1" applyFont="1" applyFill="1" applyBorder="1" applyAlignment="1">
      <alignment horizontal="center"/>
    </xf>
    <xf numFmtId="180" fontId="7" fillId="2" borderId="1" xfId="0" applyNumberFormat="1" applyFont="1" applyFill="1" applyBorder="1" applyAlignment="1">
      <alignment horizontal="right"/>
    </xf>
    <xf numFmtId="180" fontId="0" fillId="2" borderId="0" xfId="0" applyNumberFormat="1" applyFill="1"/>
    <xf numFmtId="180" fontId="5" fillId="0" borderId="1" xfId="0" applyNumberFormat="1" applyFont="1" applyFill="1" applyBorder="1" applyAlignment="1">
      <alignment horizontal="center"/>
    </xf>
    <xf numFmtId="180" fontId="15" fillId="0" borderId="4" xfId="0" applyNumberFormat="1" applyFont="1" applyFill="1" applyBorder="1"/>
    <xf numFmtId="180" fontId="8" fillId="4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/>
    <xf numFmtId="180" fontId="8" fillId="0" borderId="1" xfId="0" applyNumberFormat="1" applyFont="1" applyFill="1" applyBorder="1" applyAlignment="1">
      <alignment horizontal="center"/>
    </xf>
    <xf numFmtId="180" fontId="15" fillId="0" borderId="1" xfId="0" applyNumberFormat="1" applyFont="1" applyFill="1" applyBorder="1" applyAlignment="1"/>
    <xf numFmtId="180" fontId="8" fillId="0" borderId="1" xfId="0" applyNumberFormat="1" applyFont="1" applyFill="1" applyBorder="1"/>
    <xf numFmtId="49" fontId="8" fillId="3" borderId="3" xfId="0" applyNumberFormat="1" applyFont="1" applyFill="1" applyBorder="1" applyAlignment="1">
      <alignment wrapText="1"/>
    </xf>
    <xf numFmtId="180" fontId="5" fillId="3" borderId="1" xfId="0" applyNumberFormat="1" applyFont="1" applyFill="1" applyBorder="1" applyAlignment="1">
      <alignment horizontal="center"/>
    </xf>
    <xf numFmtId="180" fontId="10" fillId="3" borderId="1" xfId="0" applyNumberFormat="1" applyFont="1" applyFill="1" applyBorder="1" applyAlignment="1">
      <alignment horizontal="center"/>
    </xf>
    <xf numFmtId="49" fontId="0" fillId="5" borderId="3" xfId="0" applyNumberFormat="1" applyFill="1" applyBorder="1" applyAlignment="1">
      <alignment horizontal="left" wrapText="1"/>
    </xf>
    <xf numFmtId="180" fontId="15" fillId="0" borderId="1" xfId="0" applyNumberFormat="1" applyFont="1" applyBorder="1" applyAlignment="1"/>
    <xf numFmtId="180" fontId="8" fillId="0" borderId="1" xfId="0" applyNumberFormat="1" applyFont="1" applyFill="1" applyBorder="1" applyAlignment="1"/>
    <xf numFmtId="49" fontId="1" fillId="5" borderId="3" xfId="0" applyNumberFormat="1" applyFont="1" applyFill="1" applyBorder="1" applyAlignment="1">
      <alignment horizontal="right"/>
    </xf>
    <xf numFmtId="180" fontId="6" fillId="0" borderId="1" xfId="0" applyNumberFormat="1" applyFont="1" applyBorder="1" applyAlignment="1"/>
    <xf numFmtId="49" fontId="5" fillId="5" borderId="3" xfId="0" applyNumberFormat="1" applyFont="1" applyFill="1" applyBorder="1" applyAlignment="1">
      <alignment horizontal="left" wrapText="1"/>
    </xf>
    <xf numFmtId="180" fontId="8" fillId="5" borderId="1" xfId="0" applyNumberFormat="1" applyFont="1" applyFill="1" applyBorder="1" applyAlignment="1"/>
    <xf numFmtId="180" fontId="5" fillId="5" borderId="1" xfId="0" applyNumberFormat="1" applyFont="1" applyFill="1" applyBorder="1" applyAlignment="1"/>
    <xf numFmtId="49" fontId="8" fillId="5" borderId="3" xfId="0" applyNumberFormat="1" applyFont="1" applyFill="1" applyBorder="1" applyAlignment="1">
      <alignment horizontal="right"/>
    </xf>
    <xf numFmtId="180" fontId="5" fillId="0" borderId="1" xfId="0" applyNumberFormat="1" applyFont="1" applyBorder="1" applyAlignment="1">
      <alignment horizontal="center"/>
    </xf>
    <xf numFmtId="180" fontId="10" fillId="0" borderId="1" xfId="0" applyNumberFormat="1" applyFont="1" applyBorder="1" applyAlignment="1">
      <alignment horizontal="center"/>
    </xf>
    <xf numFmtId="180" fontId="5" fillId="4" borderId="1" xfId="0" applyNumberFormat="1" applyFont="1" applyFill="1" applyBorder="1"/>
    <xf numFmtId="49" fontId="5" fillId="0" borderId="3" xfId="0" applyNumberFormat="1" applyFont="1" applyFill="1" applyBorder="1" applyAlignment="1">
      <alignment wrapText="1"/>
    </xf>
    <xf numFmtId="49" fontId="8" fillId="0" borderId="3" xfId="0" applyNumberFormat="1" applyFont="1" applyFill="1" applyBorder="1" applyAlignment="1">
      <alignment horizontal="right"/>
    </xf>
    <xf numFmtId="180" fontId="8" fillId="0" borderId="1" xfId="0" applyNumberFormat="1" applyFont="1" applyBorder="1" applyAlignment="1">
      <alignment horizontal="center"/>
    </xf>
    <xf numFmtId="180" fontId="15" fillId="0" borderId="1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right"/>
    </xf>
    <xf numFmtId="180" fontId="1" fillId="0" borderId="1" xfId="0" applyNumberFormat="1" applyFont="1" applyBorder="1"/>
    <xf numFmtId="49" fontId="0" fillId="0" borderId="1" xfId="0" applyNumberFormat="1" applyFill="1" applyBorder="1" applyAlignment="1">
      <alignment horizontal="left" wrapText="1"/>
    </xf>
    <xf numFmtId="0" fontId="3" fillId="0" borderId="1" xfId="0" applyFont="1" applyBorder="1"/>
    <xf numFmtId="180" fontId="4" fillId="0" borderId="1" xfId="0" applyNumberFormat="1" applyFont="1" applyBorder="1"/>
    <xf numFmtId="180" fontId="2" fillId="4" borderId="1" xfId="0" applyNumberFormat="1" applyFont="1" applyFill="1" applyBorder="1"/>
    <xf numFmtId="0" fontId="3" fillId="0" borderId="0" xfId="0" applyFont="1" applyBorder="1" applyAlignment="1">
      <alignment horizontal="right"/>
    </xf>
    <xf numFmtId="180" fontId="2" fillId="0" borderId="1" xfId="0" applyNumberFormat="1" applyFont="1" applyFill="1" applyBorder="1"/>
    <xf numFmtId="180" fontId="15" fillId="3" borderId="1" xfId="0" applyNumberFormat="1" applyFont="1" applyFill="1" applyBorder="1"/>
    <xf numFmtId="0" fontId="2" fillId="3" borderId="1" xfId="0" applyFont="1" applyFill="1" applyBorder="1"/>
    <xf numFmtId="0" fontId="3" fillId="0" borderId="1" xfId="0" applyFont="1" applyBorder="1" applyAlignment="1">
      <alignment horizontal="left"/>
    </xf>
    <xf numFmtId="180" fontId="15" fillId="0" borderId="1" xfId="0" applyNumberFormat="1" applyFont="1" applyBorder="1"/>
    <xf numFmtId="180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2" fontId="16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80" fontId="0" fillId="0" borderId="1" xfId="0" applyNumberFormat="1" applyFont="1" applyBorder="1" applyAlignment="1"/>
    <xf numFmtId="180" fontId="4" fillId="0" borderId="1" xfId="0" applyNumberFormat="1" applyFont="1" applyBorder="1" applyAlignment="1">
      <alignment horizontal="center"/>
    </xf>
    <xf numFmtId="180" fontId="5" fillId="0" borderId="1" xfId="0" applyNumberFormat="1" applyFont="1" applyBorder="1" applyAlignment="1"/>
    <xf numFmtId="0" fontId="0" fillId="0" borderId="1" xfId="0" applyBorder="1"/>
    <xf numFmtId="180" fontId="8" fillId="0" borderId="1" xfId="0" applyNumberFormat="1" applyFont="1" applyBorder="1" applyAlignment="1"/>
    <xf numFmtId="180" fontId="1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workbookViewId="0">
      <selection activeCell="L40" sqref="L40"/>
    </sheetView>
  </sheetViews>
  <sheetFormatPr defaultColWidth="9" defaultRowHeight="15" outlineLevelCol="4"/>
  <cols>
    <col min="1" max="1" width="31.4285714285714" customWidth="1"/>
    <col min="2" max="2" width="13.4285714285714" customWidth="1"/>
    <col min="3" max="3" width="13.5714285714286" customWidth="1"/>
    <col min="4" max="4" width="13.2857142857143" customWidth="1"/>
    <col min="5" max="5" width="12.2857142857143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2"/>
      <c r="B2" s="3"/>
      <c r="C2" s="3"/>
      <c r="D2" s="3"/>
      <c r="E2" s="3"/>
    </row>
    <row r="3" spans="1:5">
      <c r="A3" s="4"/>
      <c r="B3" s="4"/>
      <c r="C3" s="5"/>
      <c r="D3" s="5"/>
      <c r="E3" s="5"/>
    </row>
    <row r="4" spans="1:5">
      <c r="A4" s="6" t="s">
        <v>1</v>
      </c>
      <c r="B4" s="7" t="s">
        <v>2</v>
      </c>
      <c r="C4" s="8" t="s">
        <v>3</v>
      </c>
      <c r="D4" s="8" t="s">
        <v>4</v>
      </c>
      <c r="E4" s="8" t="s">
        <v>5</v>
      </c>
    </row>
    <row r="5" spans="1:5">
      <c r="A5" s="9" t="s">
        <v>6</v>
      </c>
      <c r="B5" s="10"/>
      <c r="C5" s="11"/>
      <c r="D5" s="12"/>
      <c r="E5" s="13"/>
    </row>
    <row r="6" spans="1:5">
      <c r="A6" s="14" t="s">
        <v>7</v>
      </c>
      <c r="B6" s="15">
        <v>18000</v>
      </c>
      <c r="C6" s="16">
        <v>-840</v>
      </c>
      <c r="D6" s="17">
        <f>790.51+1411.48+1323.48+1434.2+1370.61+1352.32+1320.71+1256.95+1280.49+1386.4+1276.36+1334.84+1334.84</f>
        <v>16873.19</v>
      </c>
      <c r="E6" s="18">
        <f>B6+C6-D6</f>
        <v>286.810000000001</v>
      </c>
    </row>
    <row r="7" spans="1:5">
      <c r="A7" s="14" t="s">
        <v>8</v>
      </c>
      <c r="B7" s="15">
        <v>22000</v>
      </c>
      <c r="C7" s="19">
        <v>840</v>
      </c>
      <c r="D7" s="20">
        <f>1570.44+1769.71+1769.71+1769.71+1769.71+1769.71+1769.71+1769.71+1769.71+1769.71+1769.71+1769.71+933.19</f>
        <v>21970.44</v>
      </c>
      <c r="E7" s="18">
        <f>B7+C7-D7</f>
        <v>869.560000000005</v>
      </c>
    </row>
    <row r="8" spans="1:5">
      <c r="A8" s="14"/>
      <c r="B8" s="21">
        <f>B6+B7</f>
        <v>40000</v>
      </c>
      <c r="C8" s="22">
        <f>C6+C7</f>
        <v>0</v>
      </c>
      <c r="D8" s="21">
        <f>D6+D7</f>
        <v>38843.63</v>
      </c>
      <c r="E8" s="23">
        <f>B8+C8-D8</f>
        <v>1156.37000000001</v>
      </c>
    </row>
    <row r="9" spans="1:5">
      <c r="A9" s="9" t="s">
        <v>9</v>
      </c>
      <c r="B9" s="10"/>
      <c r="C9" s="11"/>
      <c r="D9" s="12"/>
      <c r="E9" s="13"/>
    </row>
    <row r="10" spans="1:5">
      <c r="A10" s="14" t="s">
        <v>10</v>
      </c>
      <c r="B10" s="20"/>
      <c r="C10" s="24"/>
      <c r="D10" s="20"/>
      <c r="E10" s="18"/>
    </row>
    <row r="11" spans="1:5">
      <c r="A11" s="14"/>
      <c r="B11" s="21">
        <f>B10</f>
        <v>0</v>
      </c>
      <c r="C11" s="22">
        <f>C10</f>
        <v>0</v>
      </c>
      <c r="D11" s="21">
        <f>D10</f>
        <v>0</v>
      </c>
      <c r="E11" s="23">
        <f>E10</f>
        <v>0</v>
      </c>
    </row>
    <row r="12" spans="1:5">
      <c r="A12" s="25" t="s">
        <v>11</v>
      </c>
      <c r="B12" s="26"/>
      <c r="C12" s="27"/>
      <c r="D12" s="26"/>
      <c r="E12" s="28"/>
    </row>
    <row r="13" spans="1:5">
      <c r="A13" s="29" t="s">
        <v>12</v>
      </c>
      <c r="B13" s="15"/>
      <c r="C13" s="24">
        <v>2300</v>
      </c>
      <c r="D13" s="20">
        <f>2280</f>
        <v>2280</v>
      </c>
      <c r="E13" s="30">
        <f>B13+C13-D13</f>
        <v>20</v>
      </c>
    </row>
    <row r="14" spans="1:5">
      <c r="A14" s="29"/>
      <c r="B14" s="15"/>
      <c r="C14" s="24"/>
      <c r="D14" s="20"/>
      <c r="E14" s="18">
        <f>B14+C14-D14</f>
        <v>0</v>
      </c>
    </row>
    <row r="15" spans="1:5">
      <c r="A15" s="31" t="s">
        <v>13</v>
      </c>
      <c r="B15" s="21">
        <f>B13+B14</f>
        <v>0</v>
      </c>
      <c r="C15" s="22">
        <f>C13+C14</f>
        <v>2300</v>
      </c>
      <c r="D15" s="21">
        <f>D13+D14</f>
        <v>2280</v>
      </c>
      <c r="E15" s="23">
        <f>B15+C15-D15</f>
        <v>20</v>
      </c>
    </row>
    <row r="16" spans="1:5">
      <c r="A16" s="32"/>
      <c r="B16" s="33"/>
      <c r="C16" s="34"/>
      <c r="D16" s="33"/>
      <c r="E16" s="33"/>
    </row>
    <row r="17" spans="1:5">
      <c r="A17" s="35"/>
      <c r="B17" s="36"/>
      <c r="C17" s="37"/>
      <c r="D17" s="36"/>
      <c r="E17" s="36"/>
    </row>
    <row r="18" ht="29.25" customHeight="1" spans="1:5">
      <c r="A18" s="38" t="s">
        <v>14</v>
      </c>
      <c r="B18" s="20">
        <v>2029200</v>
      </c>
      <c r="C18" s="24">
        <f>-267100-70530</f>
        <v>-337630</v>
      </c>
      <c r="D18" s="20">
        <f>166352.92+99884.5+113262.88+172314.63+89398.52+143126.34+118741.3+84983.9+63730.45+79062.05+13630.01+13737.15+2416.58+896.88+3936.29+9068.4+2740.45+4384.73+8296.09+108409.79+54430.36+80068.54+124291.96</f>
        <v>1557164.72</v>
      </c>
      <c r="E18" s="30">
        <f>B18+C18-D18</f>
        <v>134405.28</v>
      </c>
    </row>
    <row r="19" ht="30.75" customHeight="1" spans="1:5">
      <c r="A19" s="38" t="s">
        <v>15</v>
      </c>
      <c r="B19" s="39">
        <v>415200</v>
      </c>
      <c r="C19" s="40">
        <v>-11500</v>
      </c>
      <c r="D19" s="39">
        <f>25674.15+38748.86+36115.81+39508.38+31628.4+40705.66+26375.49+20568.16+21852.07+30201.55+34789.7+38513.67+19018.1</f>
        <v>403700</v>
      </c>
      <c r="E19" s="30">
        <f t="shared" ref="E19:E23" si="0">B19+C19-D19</f>
        <v>0</v>
      </c>
    </row>
    <row r="20" ht="26.25" customHeight="1" spans="1:5">
      <c r="A20" s="38" t="s">
        <v>16</v>
      </c>
      <c r="B20" s="39">
        <v>51900</v>
      </c>
      <c r="C20" s="40">
        <f>-15000-900</f>
        <v>-15900</v>
      </c>
      <c r="D20" s="39">
        <f>3539.62+3833.06+1687.28+2035.74+3191.16+1393.84+1962.38+3796.38+2695.98+2347.52+1228.78+1522.22+1375.5+2310.84+1137.08+1302.14</f>
        <v>35359.52</v>
      </c>
      <c r="E20" s="30">
        <f t="shared" si="0"/>
        <v>640.479999999996</v>
      </c>
    </row>
    <row r="21" ht="31.5" customHeight="1" spans="1:5">
      <c r="A21" s="38" t="s">
        <v>17</v>
      </c>
      <c r="B21" s="17">
        <v>106200</v>
      </c>
      <c r="C21" s="41">
        <v>-33000</v>
      </c>
      <c r="D21" s="42">
        <f>6897.82+7469.66+3288.08+3967.14+6218.76+2716.24+3824.18+7398.18+5253.78+4574.72+2394.58+2966.42+2680.5+4503.24+2215.88+2537.54</f>
        <v>68906.72</v>
      </c>
      <c r="E21" s="30">
        <f t="shared" si="0"/>
        <v>4293.28000000001</v>
      </c>
    </row>
    <row r="22" ht="30" customHeight="1" spans="1:5">
      <c r="A22" s="38" t="s">
        <v>18</v>
      </c>
      <c r="B22" s="20">
        <v>23000</v>
      </c>
      <c r="C22" s="24">
        <f>1100-1100</f>
        <v>0</v>
      </c>
      <c r="D22" s="42">
        <f>1749.62+1312.22+1749.62+2187.02+1749.62+2187.02+1093.51+1093.51+1530.91+1749.62+1749.62+2187.02+1749.62</f>
        <v>22088.93</v>
      </c>
      <c r="E22" s="30">
        <f t="shared" si="0"/>
        <v>911.070000000003</v>
      </c>
    </row>
    <row r="23" ht="112.5" customHeight="1" spans="1:5">
      <c r="A23" s="43" t="s">
        <v>19</v>
      </c>
      <c r="B23" s="20">
        <v>28000</v>
      </c>
      <c r="C23" s="24">
        <f>-1100+20000</f>
        <v>18900</v>
      </c>
      <c r="D23" s="42">
        <f>3448.91+629.18+3734.83+750.31+3627.61+728.77+3109.38+624.66+3270.21+656.97+3699.09+743.13+2626.89+527.73+459.52+2287.36+1197.29+240.53+1483.21+1340.25+297.97+269.25+2251.62+452.34+2376.71+477.47</f>
        <v>41311.19</v>
      </c>
      <c r="E23" s="30">
        <f t="shared" si="0"/>
        <v>5588.81</v>
      </c>
    </row>
    <row r="24" spans="1:5">
      <c r="A24" s="44" t="s">
        <v>20</v>
      </c>
      <c r="B24" s="45">
        <f>SUM(B18:B23)</f>
        <v>2653500</v>
      </c>
      <c r="C24" s="46">
        <f>SUM(C18:C22)+C23</f>
        <v>-379130</v>
      </c>
      <c r="D24" s="45">
        <f>SUM(D18:D22)+D23</f>
        <v>2128531.08</v>
      </c>
      <c r="E24" s="45">
        <f>SUM(E18:E22)+E23</f>
        <v>145838.92</v>
      </c>
    </row>
    <row r="25" spans="1:5">
      <c r="A25" s="9" t="s">
        <v>21</v>
      </c>
      <c r="B25" s="28"/>
      <c r="C25" s="27"/>
      <c r="D25" s="47"/>
      <c r="E25" s="47"/>
    </row>
    <row r="26" ht="21" customHeight="1" spans="1:5">
      <c r="A26" s="48" t="s">
        <v>22</v>
      </c>
      <c r="B26" s="30">
        <v>40000</v>
      </c>
      <c r="C26" s="49"/>
      <c r="D26" s="17">
        <f>5490+2610+2205+1350+2430+2655+12379+881+1575+2719+1260+2340+1305</f>
        <v>39199</v>
      </c>
      <c r="E26" s="17">
        <f>B26+C26-D26</f>
        <v>801</v>
      </c>
    </row>
    <row r="27" ht="32.25" customHeight="1" spans="1:5">
      <c r="A27" s="48" t="s">
        <v>23</v>
      </c>
      <c r="B27" s="30">
        <v>9000</v>
      </c>
      <c r="C27" s="50">
        <v>-1210</v>
      </c>
      <c r="D27" s="17">
        <f>4490+3280</f>
        <v>7770</v>
      </c>
      <c r="E27" s="20">
        <f t="shared" ref="E27:E44" si="1">B27+C27-D27</f>
        <v>20</v>
      </c>
    </row>
    <row r="28" spans="1:5">
      <c r="A28" s="14" t="s">
        <v>24</v>
      </c>
      <c r="B28" s="30">
        <v>3000</v>
      </c>
      <c r="C28" s="50">
        <f>850</f>
        <v>850</v>
      </c>
      <c r="D28" s="17">
        <v>3850</v>
      </c>
      <c r="E28" s="20">
        <f t="shared" si="1"/>
        <v>0</v>
      </c>
    </row>
    <row r="29" spans="1:5">
      <c r="A29" s="51" t="s">
        <v>25</v>
      </c>
      <c r="B29" s="30">
        <v>9400</v>
      </c>
      <c r="C29" s="50"/>
      <c r="D29" s="17">
        <f>852.34+852.34+852.34+852.34+852.34+852.34+852.34+852.34+852.34+852.34+852.34</f>
        <v>9375.74</v>
      </c>
      <c r="E29" s="20">
        <f t="shared" si="1"/>
        <v>24.2600000000002</v>
      </c>
    </row>
    <row r="30" ht="32.25" customHeight="1" spans="1:5">
      <c r="A30" s="48" t="s">
        <v>26</v>
      </c>
      <c r="B30" s="30">
        <v>6500</v>
      </c>
      <c r="C30" s="50">
        <v>1250</v>
      </c>
      <c r="D30" s="17">
        <f>6010+1250+480</f>
        <v>7740</v>
      </c>
      <c r="E30" s="20">
        <f t="shared" si="1"/>
        <v>10</v>
      </c>
    </row>
    <row r="31" spans="1:5">
      <c r="A31" s="52" t="s">
        <v>27</v>
      </c>
      <c r="B31" s="30">
        <v>5000</v>
      </c>
      <c r="C31" s="50">
        <f>200</f>
        <v>200</v>
      </c>
      <c r="D31" s="39">
        <v>5196.78</v>
      </c>
      <c r="E31" s="20">
        <f t="shared" si="1"/>
        <v>3.22000000000025</v>
      </c>
    </row>
    <row r="32" ht="39.75" customHeight="1" spans="1:5">
      <c r="A32" s="48" t="s">
        <v>28</v>
      </c>
      <c r="B32" s="30">
        <v>68500</v>
      </c>
      <c r="C32" s="50">
        <v>-8500</v>
      </c>
      <c r="D32" s="39">
        <f>5000+5000+5000+5000+5000+5000+5000+5000+5000+5000+5000+5000</f>
        <v>60000</v>
      </c>
      <c r="E32" s="20">
        <f t="shared" si="1"/>
        <v>0</v>
      </c>
    </row>
    <row r="33" ht="33" customHeight="1" spans="1:5">
      <c r="A33" s="53" t="s">
        <v>29</v>
      </c>
      <c r="B33" s="30">
        <v>7300</v>
      </c>
      <c r="C33" s="50">
        <f>-3300-1900-32</f>
        <v>-5232</v>
      </c>
      <c r="D33" s="17">
        <f>2067.6</f>
        <v>2067.6</v>
      </c>
      <c r="E33" s="20">
        <f t="shared" si="1"/>
        <v>0.400000000000091</v>
      </c>
    </row>
    <row r="34" ht="30" customHeight="1" spans="1:5">
      <c r="A34" s="48" t="s">
        <v>30</v>
      </c>
      <c r="B34" s="30">
        <v>20000</v>
      </c>
      <c r="C34" s="50">
        <f>13000-5890</f>
        <v>7110</v>
      </c>
      <c r="D34" s="54">
        <f>1700+25408.89</f>
        <v>27108.89</v>
      </c>
      <c r="E34" s="39">
        <f t="shared" si="1"/>
        <v>1.11000000000058</v>
      </c>
    </row>
    <row r="35" ht="17.25" customHeight="1" spans="1:5">
      <c r="A35" s="53" t="s">
        <v>31</v>
      </c>
      <c r="B35" s="30">
        <v>7700</v>
      </c>
      <c r="C35" s="50">
        <f>-800+32</f>
        <v>-768</v>
      </c>
      <c r="D35" s="17">
        <v>6920</v>
      </c>
      <c r="E35" s="20">
        <f t="shared" si="1"/>
        <v>12</v>
      </c>
    </row>
    <row r="36" ht="18" customHeight="1" spans="1:5">
      <c r="A36" s="53" t="s">
        <v>32</v>
      </c>
      <c r="B36" s="55">
        <v>6200</v>
      </c>
      <c r="C36" s="50">
        <v>-1200</v>
      </c>
      <c r="D36" s="17">
        <v>5000</v>
      </c>
      <c r="E36" s="20">
        <f t="shared" si="1"/>
        <v>0</v>
      </c>
    </row>
    <row r="37" ht="31.5" customHeight="1" spans="1:5">
      <c r="A37" s="53" t="s">
        <v>33</v>
      </c>
      <c r="B37" s="55">
        <v>1780</v>
      </c>
      <c r="C37" s="50">
        <f>2440</f>
        <v>2440</v>
      </c>
      <c r="D37" s="17">
        <f>1776.04+2436.99</f>
        <v>4213.03</v>
      </c>
      <c r="E37" s="20">
        <f t="shared" si="1"/>
        <v>6.97000000000025</v>
      </c>
    </row>
    <row r="38" ht="27.75" customHeight="1" spans="1:5">
      <c r="A38" s="53" t="s">
        <v>34</v>
      </c>
      <c r="B38" s="55">
        <v>47320</v>
      </c>
      <c r="C38" s="50">
        <f>-15000-1720-850-840-2440-940-470-9000-200-1250+9500-4700</f>
        <v>-27910</v>
      </c>
      <c r="D38" s="17">
        <f>10058+9346</f>
        <v>19404</v>
      </c>
      <c r="E38" s="20">
        <f t="shared" si="1"/>
        <v>6</v>
      </c>
    </row>
    <row r="39" ht="28.5" customHeight="1" spans="1:5">
      <c r="A39" s="53" t="s">
        <v>35</v>
      </c>
      <c r="B39" s="55"/>
      <c r="C39" s="50">
        <f>2000</f>
        <v>2000</v>
      </c>
      <c r="D39" s="17">
        <f>1993.72</f>
        <v>1993.72</v>
      </c>
      <c r="E39" s="20">
        <f t="shared" si="1"/>
        <v>6.27999999999997</v>
      </c>
    </row>
    <row r="40" ht="53.25" customHeight="1" spans="1:5">
      <c r="A40" s="56" t="s">
        <v>36</v>
      </c>
      <c r="B40" s="57"/>
      <c r="C40" s="58">
        <v>940</v>
      </c>
      <c r="D40" s="59">
        <f>470+470</f>
        <v>940</v>
      </c>
      <c r="E40" s="60">
        <f t="shared" si="1"/>
        <v>0</v>
      </c>
    </row>
    <row r="41" ht="32.25" customHeight="1" spans="1:5">
      <c r="A41" s="56" t="s">
        <v>37</v>
      </c>
      <c r="B41" s="57"/>
      <c r="C41" s="58">
        <f>470</f>
        <v>470</v>
      </c>
      <c r="D41" s="59">
        <v>470</v>
      </c>
      <c r="E41" s="60">
        <f t="shared" si="1"/>
        <v>0</v>
      </c>
    </row>
    <row r="42" ht="27.75" customHeight="1" spans="1:5">
      <c r="A42" s="56" t="s">
        <v>38</v>
      </c>
      <c r="B42" s="57"/>
      <c r="C42" s="58">
        <f>9000+19200-9500-9700</f>
        <v>9000</v>
      </c>
      <c r="D42" s="59">
        <f>4500+4500</f>
        <v>9000</v>
      </c>
      <c r="E42" s="60">
        <f t="shared" si="1"/>
        <v>0</v>
      </c>
    </row>
    <row r="43" ht="16.5" customHeight="1" spans="1:5">
      <c r="A43" s="56" t="s">
        <v>39</v>
      </c>
      <c r="B43" s="57"/>
      <c r="C43" s="58">
        <v>61800</v>
      </c>
      <c r="D43" s="59">
        <f>40512+21245</f>
        <v>61757</v>
      </c>
      <c r="E43" s="60">
        <f t="shared" si="1"/>
        <v>43</v>
      </c>
    </row>
    <row r="44" spans="1:5">
      <c r="A44" s="61" t="s">
        <v>40</v>
      </c>
      <c r="B44" s="62">
        <f>SUM(B26:B43)</f>
        <v>231700</v>
      </c>
      <c r="C44" s="62">
        <f>SUM(C26:C43)</f>
        <v>41240</v>
      </c>
      <c r="D44" s="62">
        <f>SUM(D26:D43)</f>
        <v>272005.76</v>
      </c>
      <c r="E44" s="62">
        <f t="shared" si="1"/>
        <v>934.239999999991</v>
      </c>
    </row>
    <row r="45" spans="1:5">
      <c r="A45" s="61"/>
      <c r="B45" s="62"/>
      <c r="C45" s="62"/>
      <c r="D45" s="62"/>
      <c r="E45" s="62"/>
    </row>
    <row r="46" spans="1:5">
      <c r="A46" s="9" t="s">
        <v>41</v>
      </c>
      <c r="B46" s="63"/>
      <c r="C46" s="64"/>
      <c r="D46" s="65"/>
      <c r="E46" s="13"/>
    </row>
    <row r="47" spans="1:5">
      <c r="A47" s="52" t="s">
        <v>42</v>
      </c>
      <c r="B47" s="66">
        <v>63600</v>
      </c>
      <c r="C47" s="49">
        <v>-120</v>
      </c>
      <c r="D47" s="39">
        <f>63450</f>
        <v>63450</v>
      </c>
      <c r="E47" s="20">
        <f>B47+C47-D47</f>
        <v>30</v>
      </c>
    </row>
    <row r="48" ht="30.75" customHeight="1" spans="1:5">
      <c r="A48" s="48" t="s">
        <v>43</v>
      </c>
      <c r="B48" s="66">
        <v>3000</v>
      </c>
      <c r="C48" s="50">
        <f>2220+1900</f>
        <v>4120</v>
      </c>
      <c r="D48" s="39">
        <f>5220+1879.2</f>
        <v>7099.2</v>
      </c>
      <c r="E48" s="20">
        <f t="shared" ref="E48:E54" si="2">B48+C48-D48</f>
        <v>20.8000000000002</v>
      </c>
    </row>
    <row r="49" ht="52.5" customHeight="1" spans="1:5">
      <c r="A49" s="48" t="s">
        <v>44</v>
      </c>
      <c r="B49" s="66">
        <v>7000</v>
      </c>
      <c r="C49" s="49">
        <f>-2220+100+120</f>
        <v>-2000</v>
      </c>
      <c r="D49" s="17">
        <f>5000</f>
        <v>5000</v>
      </c>
      <c r="E49" s="20">
        <f t="shared" si="2"/>
        <v>0</v>
      </c>
    </row>
    <row r="50" spans="1:5">
      <c r="A50" s="52" t="s">
        <v>45</v>
      </c>
      <c r="B50" s="66">
        <v>20700</v>
      </c>
      <c r="C50" s="67"/>
      <c r="D50" s="17">
        <f>1584.48+1584.48+1584.48+1584.48+1584.48+1584.48+1584.48+1584.48+1584.48+1584.48+1584.48+1584.48+1584.48</f>
        <v>20598.24</v>
      </c>
      <c r="E50" s="20">
        <f t="shared" si="2"/>
        <v>101.760000000002</v>
      </c>
    </row>
    <row r="51" spans="1:5">
      <c r="A51" s="52" t="s">
        <v>46</v>
      </c>
      <c r="B51" s="66">
        <v>1000</v>
      </c>
      <c r="C51" s="67">
        <v>-100</v>
      </c>
      <c r="D51" s="17">
        <f>900</f>
        <v>900</v>
      </c>
      <c r="E51" s="20">
        <f t="shared" si="2"/>
        <v>0</v>
      </c>
    </row>
    <row r="52" spans="1:5">
      <c r="A52" s="52" t="s">
        <v>47</v>
      </c>
      <c r="B52" s="66"/>
      <c r="C52" s="67">
        <f>3000-3000</f>
        <v>0</v>
      </c>
      <c r="D52" s="17"/>
      <c r="E52" s="20">
        <f t="shared" si="2"/>
        <v>0</v>
      </c>
    </row>
    <row r="53" spans="1:5">
      <c r="A53" s="52" t="s">
        <v>48</v>
      </c>
      <c r="B53" s="66"/>
      <c r="C53" s="67">
        <f>5300+3000</f>
        <v>8300</v>
      </c>
      <c r="D53" s="17">
        <v>8285</v>
      </c>
      <c r="E53" s="20">
        <f t="shared" si="2"/>
        <v>15</v>
      </c>
    </row>
    <row r="54" spans="1:5">
      <c r="A54" s="61" t="s">
        <v>49</v>
      </c>
      <c r="B54" s="68">
        <f>SUM(B47:B53)</f>
        <v>95300</v>
      </c>
      <c r="C54" s="68">
        <f>SUM(C47:C53)</f>
        <v>10200</v>
      </c>
      <c r="D54" s="68">
        <f>SUM(D47:D53)</f>
        <v>105332.44</v>
      </c>
      <c r="E54" s="68">
        <f t="shared" si="2"/>
        <v>167.559999999998</v>
      </c>
    </row>
    <row r="55" spans="1:5">
      <c r="A55" s="69"/>
      <c r="B55" s="70"/>
      <c r="C55" s="71"/>
      <c r="D55" s="72"/>
      <c r="E55" s="72"/>
    </row>
    <row r="56" ht="17.25" customHeight="1" spans="1:5">
      <c r="A56" s="73" t="s">
        <v>50</v>
      </c>
      <c r="B56" s="74"/>
      <c r="C56" s="75"/>
      <c r="D56" s="26"/>
      <c r="E56" s="47"/>
    </row>
    <row r="57" ht="29.25" customHeight="1" spans="1:5">
      <c r="A57" s="76" t="s">
        <v>51</v>
      </c>
      <c r="B57" s="70"/>
      <c r="C57" s="77">
        <v>1400</v>
      </c>
      <c r="D57" s="78">
        <v>1400</v>
      </c>
      <c r="E57" s="72">
        <f>B57+C57-D57</f>
        <v>0</v>
      </c>
    </row>
    <row r="58" ht="29.25" customHeight="1" spans="1:5">
      <c r="A58" s="79" t="s">
        <v>13</v>
      </c>
      <c r="B58" s="70">
        <f>B57</f>
        <v>0</v>
      </c>
      <c r="C58" s="80">
        <f>C57</f>
        <v>1400</v>
      </c>
      <c r="D58" s="78">
        <f>D57</f>
        <v>1400</v>
      </c>
      <c r="E58" s="72">
        <f>B58+C58-D58</f>
        <v>0</v>
      </c>
    </row>
    <row r="59" ht="19.5" customHeight="1" spans="1:5">
      <c r="A59" s="73" t="s">
        <v>52</v>
      </c>
      <c r="B59" s="74"/>
      <c r="C59" s="75"/>
      <c r="D59" s="26"/>
      <c r="E59" s="47"/>
    </row>
    <row r="60" ht="29.25" customHeight="1" spans="1:5">
      <c r="A60" s="76" t="s">
        <v>51</v>
      </c>
      <c r="B60" s="70"/>
      <c r="C60" s="77">
        <v>130800</v>
      </c>
      <c r="D60" s="78">
        <v>130800</v>
      </c>
      <c r="E60" s="72">
        <f>B60+C60-D60</f>
        <v>0</v>
      </c>
    </row>
    <row r="61" spans="1:5">
      <c r="A61" s="79" t="s">
        <v>13</v>
      </c>
      <c r="B61" s="70">
        <f>B60</f>
        <v>0</v>
      </c>
      <c r="C61" s="80">
        <f>C60</f>
        <v>130800</v>
      </c>
      <c r="D61" s="78">
        <f>D60</f>
        <v>130800</v>
      </c>
      <c r="E61" s="72">
        <f>B61+C61-D61</f>
        <v>0</v>
      </c>
    </row>
    <row r="62" spans="1:5">
      <c r="A62" s="9" t="s">
        <v>53</v>
      </c>
      <c r="B62" s="74"/>
      <c r="C62" s="26"/>
      <c r="D62" s="26"/>
      <c r="E62" s="47"/>
    </row>
    <row r="63" ht="22.5" customHeight="1" spans="1:5">
      <c r="A63" s="81" t="s">
        <v>54</v>
      </c>
      <c r="B63" s="82"/>
      <c r="C63" s="71">
        <f>3200+290+4700</f>
        <v>8190</v>
      </c>
      <c r="D63" s="82">
        <v>7828.59</v>
      </c>
      <c r="E63" s="39">
        <f>B63+C63-D63</f>
        <v>361.41</v>
      </c>
    </row>
    <row r="64" ht="24" customHeight="1" spans="1:5">
      <c r="A64" s="81" t="s">
        <v>55</v>
      </c>
      <c r="B64" s="82"/>
      <c r="C64" s="71">
        <f>1720+840</f>
        <v>2560</v>
      </c>
      <c r="D64" s="82">
        <f>1720+840</f>
        <v>2560</v>
      </c>
      <c r="E64" s="83">
        <f t="shared" ref="E64:E65" si="3">B64+C64-D64</f>
        <v>0</v>
      </c>
    </row>
    <row r="65" spans="1:5">
      <c r="A65" s="84" t="s">
        <v>56</v>
      </c>
      <c r="B65" s="82">
        <f>SUM(B63:B64)</f>
        <v>0</v>
      </c>
      <c r="C65" s="82">
        <f>SUM(C63:C64)</f>
        <v>10750</v>
      </c>
      <c r="D65" s="82">
        <f>SUM(D63:D64)</f>
        <v>10388.59</v>
      </c>
      <c r="E65" s="82">
        <f t="shared" si="3"/>
        <v>361.41</v>
      </c>
    </row>
    <row r="66" spans="1:5">
      <c r="A66" s="9" t="s">
        <v>57</v>
      </c>
      <c r="B66" s="74"/>
      <c r="C66" s="26"/>
      <c r="D66" s="26"/>
      <c r="E66" s="47"/>
    </row>
    <row r="67" spans="1:5">
      <c r="A67" s="52" t="s">
        <v>58</v>
      </c>
      <c r="B67" s="85">
        <v>13500</v>
      </c>
      <c r="C67" s="86">
        <v>-2200</v>
      </c>
      <c r="D67" s="39">
        <v>11300</v>
      </c>
      <c r="E67" s="87">
        <f>B67+C67-D67</f>
        <v>0</v>
      </c>
    </row>
    <row r="68" spans="1:5">
      <c r="A68" s="52" t="s">
        <v>59</v>
      </c>
      <c r="B68" s="85">
        <v>20000</v>
      </c>
      <c r="C68" s="86">
        <f>2200-108</f>
        <v>2092</v>
      </c>
      <c r="D68" s="39">
        <f>19726.1+2364</f>
        <v>22090.1</v>
      </c>
      <c r="E68" s="87">
        <f t="shared" ref="E68:E73" si="4">B68+C68-D68</f>
        <v>1.90000000000146</v>
      </c>
    </row>
    <row r="69" spans="1:5">
      <c r="A69" s="52" t="s">
        <v>60</v>
      </c>
      <c r="B69" s="85">
        <v>10000</v>
      </c>
      <c r="C69" s="86">
        <v>-82</v>
      </c>
      <c r="D69" s="39">
        <f>9918</f>
        <v>9918</v>
      </c>
      <c r="E69" s="87">
        <f t="shared" si="4"/>
        <v>0</v>
      </c>
    </row>
    <row r="70" spans="1:5">
      <c r="A70" s="51" t="s">
        <v>61</v>
      </c>
      <c r="B70" s="85"/>
      <c r="C70" s="86"/>
      <c r="D70" s="39"/>
      <c r="E70" s="87">
        <f t="shared" si="4"/>
        <v>0</v>
      </c>
    </row>
    <row r="71" ht="58.5" customHeight="1" spans="1:5">
      <c r="A71" s="88" t="s">
        <v>62</v>
      </c>
      <c r="B71" s="85">
        <v>2000</v>
      </c>
      <c r="C71" s="86">
        <f>-100+100</f>
        <v>0</v>
      </c>
      <c r="D71" s="39">
        <f>1499.85+499.95</f>
        <v>1999.8</v>
      </c>
      <c r="E71" s="87">
        <f t="shared" si="4"/>
        <v>0.200000000000045</v>
      </c>
    </row>
    <row r="72" spans="1:5">
      <c r="A72" s="51" t="s">
        <v>63</v>
      </c>
      <c r="B72" s="85"/>
      <c r="C72" s="86"/>
      <c r="D72" s="39"/>
      <c r="E72" s="87">
        <f t="shared" si="4"/>
        <v>0</v>
      </c>
    </row>
    <row r="73" spans="1:5">
      <c r="A73" s="89" t="s">
        <v>64</v>
      </c>
      <c r="B73" s="90">
        <f>B67+B68+B69+B70+B71+B72</f>
        <v>45500</v>
      </c>
      <c r="C73" s="91">
        <f>C67+C68+C69+C70+C71+C72</f>
        <v>-190</v>
      </c>
      <c r="D73" s="90">
        <f>D67+D68+D69+D70+D71+D72</f>
        <v>45307.9</v>
      </c>
      <c r="E73" s="72">
        <f t="shared" si="4"/>
        <v>2.09999999999854</v>
      </c>
    </row>
    <row r="74" spans="1:5">
      <c r="A74" s="92"/>
      <c r="B74" s="93"/>
      <c r="C74" s="93"/>
      <c r="D74" s="93"/>
      <c r="E74" s="93"/>
    </row>
    <row r="75" spans="1:5">
      <c r="A75" s="9" t="s">
        <v>65</v>
      </c>
      <c r="B75" s="74"/>
      <c r="C75" s="26"/>
      <c r="D75" s="26"/>
      <c r="E75" s="47"/>
    </row>
    <row r="76" ht="45" customHeight="1" spans="1:5">
      <c r="A76" s="94" t="s">
        <v>66</v>
      </c>
      <c r="B76" s="85">
        <v>10000</v>
      </c>
      <c r="C76" s="86">
        <v>3000</v>
      </c>
      <c r="D76" s="39">
        <f>8486.29+4486</f>
        <v>12972.29</v>
      </c>
      <c r="E76" s="17">
        <f>B76+C76-D76</f>
        <v>27.7099999999991</v>
      </c>
    </row>
    <row r="77" spans="1:5">
      <c r="A77" s="89" t="s">
        <v>67</v>
      </c>
      <c r="B77" s="90">
        <f>B76</f>
        <v>10000</v>
      </c>
      <c r="C77" s="91">
        <f>C76</f>
        <v>3000</v>
      </c>
      <c r="D77" s="21">
        <f>D76:D76</f>
        <v>12972.29</v>
      </c>
      <c r="E77" s="23">
        <f>B77+C77-D77</f>
        <v>27.7099999999991</v>
      </c>
    </row>
    <row r="78" spans="1:5">
      <c r="A78" s="9" t="s">
        <v>68</v>
      </c>
      <c r="B78" s="13"/>
      <c r="C78" s="13"/>
      <c r="D78" s="13"/>
      <c r="E78" s="13"/>
    </row>
    <row r="79" spans="1:5">
      <c r="A79" s="95" t="s">
        <v>69</v>
      </c>
      <c r="B79" s="21">
        <v>8000</v>
      </c>
      <c r="C79" s="96"/>
      <c r="D79" s="97">
        <f>11.14+23.08+232.45+74.25+21.98+16.35+272.11+81.43+194.63+12.14+3.84+14.44+43.9+8.46+22.72+167.85+279.63+12.14+349.89+8.64+17.2+52.37+13.31+295.61+12.14+245.82+52.8+8.91+132.23+10.08+18.98+230.25+12.14+103.07+147.77+12.14+231.09+8.92+25.34+139.49+9.36+76.37+187.05+100.25+9.36+8.92+56.67+90.05+44.5+44.89+119.04+9.36+26.74+98.57+9.36+25.53+5.35+62.17+9.91+124.08+53.2+9.91+25.81+9.36+116.38+12.14+42.44+7.62+103.99+9.36+9.91+64+88.4+108.05</f>
        <v>5398.83</v>
      </c>
      <c r="E79" s="20">
        <f>B79+C79-D79</f>
        <v>2601.17</v>
      </c>
    </row>
    <row r="80" spans="1:5">
      <c r="A80" s="98" t="s">
        <v>13</v>
      </c>
      <c r="B80" s="20">
        <f>SUM(B79)</f>
        <v>8000</v>
      </c>
      <c r="C80" s="96">
        <f>SUM(C79)</f>
        <v>0</v>
      </c>
      <c r="D80" s="99">
        <f>SUM(D79)</f>
        <v>5398.83</v>
      </c>
      <c r="E80" s="20">
        <f>SUM(E79)</f>
        <v>2601.17</v>
      </c>
    </row>
    <row r="81" spans="1:5">
      <c r="A81" s="25" t="s">
        <v>70</v>
      </c>
      <c r="B81" s="12"/>
      <c r="C81" s="100"/>
      <c r="D81" s="101"/>
      <c r="E81" s="101"/>
    </row>
    <row r="82" spans="1:5">
      <c r="A82" s="102" t="s">
        <v>71</v>
      </c>
      <c r="B82" s="15">
        <v>141600</v>
      </c>
      <c r="C82" s="103"/>
      <c r="D82" s="104">
        <v>141600</v>
      </c>
      <c r="E82" s="104"/>
    </row>
    <row r="83" spans="1:5">
      <c r="A83" s="105" t="s">
        <v>72</v>
      </c>
      <c r="B83" s="15">
        <f>B82</f>
        <v>141600</v>
      </c>
      <c r="C83" s="103">
        <f>SUM(C82)</f>
        <v>0</v>
      </c>
      <c r="D83" s="104">
        <f>SUM(D82)</f>
        <v>141600</v>
      </c>
      <c r="E83" s="104">
        <f>B83+C83-D83</f>
        <v>0</v>
      </c>
    </row>
    <row r="84" spans="1:5">
      <c r="A84" s="105"/>
      <c r="B84" s="104"/>
      <c r="C84" s="103"/>
      <c r="D84" s="4"/>
      <c r="E84" s="4"/>
    </row>
    <row r="85" spans="1:5">
      <c r="A85" s="25" t="s">
        <v>73</v>
      </c>
      <c r="B85" s="104"/>
      <c r="C85" s="103"/>
      <c r="D85" s="4"/>
      <c r="E85" s="4"/>
    </row>
    <row r="86" spans="1:5">
      <c r="A86" s="102" t="s">
        <v>71</v>
      </c>
      <c r="B86" s="15">
        <v>566400</v>
      </c>
      <c r="C86" s="106"/>
      <c r="D86" s="104">
        <v>566400</v>
      </c>
      <c r="E86" s="104"/>
    </row>
    <row r="87" spans="1:5">
      <c r="A87" s="105"/>
      <c r="B87" s="15">
        <f>B86</f>
        <v>566400</v>
      </c>
      <c r="C87" s="103">
        <f>SUM(C86)</f>
        <v>0</v>
      </c>
      <c r="D87" s="104">
        <f>SUM(D86)</f>
        <v>566400</v>
      </c>
      <c r="E87" s="104">
        <f>B87+C87-D87</f>
        <v>0</v>
      </c>
    </row>
    <row r="88" spans="1:5">
      <c r="A88" s="105"/>
      <c r="B88" s="104"/>
      <c r="C88" s="103"/>
      <c r="D88" s="4"/>
      <c r="E88" s="4"/>
    </row>
    <row r="89" spans="1:5">
      <c r="A89" s="107" t="s">
        <v>74</v>
      </c>
      <c r="B89" s="108"/>
      <c r="C89" s="108"/>
      <c r="D89" s="108"/>
      <c r="E89" s="109"/>
    </row>
    <row r="90" spans="1:5">
      <c r="A90" s="9" t="s">
        <v>75</v>
      </c>
      <c r="B90" s="13"/>
      <c r="C90" s="13"/>
      <c r="D90" s="13"/>
      <c r="E90" s="13"/>
    </row>
    <row r="91" ht="44.25" customHeight="1" spans="1:5">
      <c r="A91" s="110" t="s">
        <v>76</v>
      </c>
      <c r="B91" s="111">
        <v>80000</v>
      </c>
      <c r="C91" s="112">
        <f>-9100-9497.47</f>
        <v>-18597.47</v>
      </c>
      <c r="D91" s="17">
        <f>30240+21933.71+9228.82</f>
        <v>61402.53</v>
      </c>
      <c r="E91" s="20">
        <f>B91+C91-D91</f>
        <v>0</v>
      </c>
    </row>
    <row r="92" spans="1:5">
      <c r="A92" s="5"/>
      <c r="B92" s="113"/>
      <c r="C92" s="112"/>
      <c r="D92" s="114"/>
      <c r="E92" s="20">
        <f>B92+C92-D92</f>
        <v>0</v>
      </c>
    </row>
    <row r="93" spans="1:5">
      <c r="A93" s="5" t="s">
        <v>77</v>
      </c>
      <c r="B93" s="115">
        <f>B91</f>
        <v>80000</v>
      </c>
      <c r="C93" s="116">
        <f>C91</f>
        <v>-18597.47</v>
      </c>
      <c r="D93" s="93">
        <f>SUM(D91:D92)</f>
        <v>61402.53</v>
      </c>
      <c r="E93" s="21">
        <f>B93+C93-D93</f>
        <v>0</v>
      </c>
    </row>
    <row r="95" spans="1:5">
      <c r="A95" s="9" t="s">
        <v>78</v>
      </c>
      <c r="B95" s="13"/>
      <c r="C95" s="13"/>
      <c r="D95" s="13"/>
      <c r="E95" s="13"/>
    </row>
    <row r="96" ht="59.25" customHeight="1" spans="1:5">
      <c r="A96" s="117" t="s">
        <v>79</v>
      </c>
      <c r="B96" s="113">
        <v>32700</v>
      </c>
      <c r="C96" s="16">
        <v>9497.47</v>
      </c>
      <c r="D96" s="99">
        <f>15013.42+4104+12300+10780.05</f>
        <v>42197.47</v>
      </c>
      <c r="E96" s="20">
        <f>B96+C96-D96</f>
        <v>0</v>
      </c>
    </row>
    <row r="97" spans="1:5">
      <c r="A97" s="5"/>
      <c r="B97" s="113"/>
      <c r="C97" s="114"/>
      <c r="D97" s="114"/>
      <c r="E97" s="4"/>
    </row>
    <row r="98" spans="1:5">
      <c r="A98" s="5" t="s">
        <v>77</v>
      </c>
      <c r="B98" s="115">
        <f>B96+B97</f>
        <v>32700</v>
      </c>
      <c r="C98" s="116">
        <f>C96</f>
        <v>9497.47</v>
      </c>
      <c r="D98" s="93">
        <f>D96</f>
        <v>42197.47</v>
      </c>
      <c r="E98" s="21">
        <f>B98+C98-D98</f>
        <v>0</v>
      </c>
    </row>
  </sheetData>
  <mergeCells count="7">
    <mergeCell ref="A1:E1"/>
    <mergeCell ref="A89:E89"/>
    <mergeCell ref="A16:A17"/>
    <mergeCell ref="B16:B17"/>
    <mergeCell ref="C16:C17"/>
    <mergeCell ref="D16:D17"/>
    <mergeCell ref="E16:E1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расх.2023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2024-04-12T06:53:48Z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CE1397B087EC43FBA561E5E68B11F992_12</vt:lpwstr>
  </property>
  <property fmtid="{D5CDD505-2E9C-101B-9397-08002B2CF9AE}" pid="3" name="KSOProductBuildVer">
    <vt:lpwstr>1049-12.2.0.16731</vt:lpwstr>
  </property>
</Properties>
</file>