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расходы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<sst xmlns="http://schemas.openxmlformats.org/spreadsheetml/2006/main" count="75" uniqueCount="74">
  <si>
    <t>Расходы учреждения в 2022 году</t>
  </si>
  <si>
    <t>МКДОУ № 7 пгт. Вахруши</t>
  </si>
  <si>
    <t>ассигнования</t>
  </si>
  <si>
    <t>передв.</t>
  </si>
  <si>
    <t>расход</t>
  </si>
  <si>
    <t>остаток</t>
  </si>
  <si>
    <t>903-0701-0110082010-244-221</t>
  </si>
  <si>
    <t>Услуги связи 650 руб.*12мес</t>
  </si>
  <si>
    <t>Интернет 600 руб.*12 мес.</t>
  </si>
  <si>
    <t>903-0701-0110082010-112-222</t>
  </si>
  <si>
    <t>Маршрутные листы</t>
  </si>
  <si>
    <t>903-0701-0110082010-112-226</t>
  </si>
  <si>
    <t>Медосмотр авансовый отчет</t>
  </si>
  <si>
    <t>903-0701-0110082010-247-223.01                                   отопление</t>
  </si>
  <si>
    <t>903-0701-0110082010-247-223.03 электроэнергия</t>
  </si>
  <si>
    <t>903-0701-0110082010-244-223.04 водоснабжение</t>
  </si>
  <si>
    <t>903-0701-0110082010-244-223.05 водоотведение</t>
  </si>
  <si>
    <t>903-0701-0110082010-244-223.07                           вывоз мусора</t>
  </si>
  <si>
    <r>
      <rPr>
        <b/>
        <u/>
        <sz val="10"/>
        <rFont val="Arial Cyr"/>
        <charset val="204"/>
      </rPr>
      <t>903-0702-0120082020-244-223.08</t>
    </r>
    <r>
      <rPr>
        <b/>
        <sz val="10"/>
        <rFont val="Arial Cyr"/>
        <charset val="204"/>
      </rPr>
      <t xml:space="preserve"> Плата за сброс загрязняющих веществ в систему мун.канализации, плата за негативное воздействие сточных вод на работу централизованной системы водоотведения</t>
    </r>
  </si>
  <si>
    <t>итого 223</t>
  </si>
  <si>
    <t>903-0701-0110082010-244-225</t>
  </si>
  <si>
    <t xml:space="preserve">Услуги прачечной </t>
  </si>
  <si>
    <t xml:space="preserve">Проверка ОП, перезарядка огнетушителей (замена шланга) </t>
  </si>
  <si>
    <t>Антиклещевая обработка территории</t>
  </si>
  <si>
    <t>Уничтожение грызунов 322,71 руб.*11 мес</t>
  </si>
  <si>
    <t>Заправка картриджей, ремонт картриджа</t>
  </si>
  <si>
    <t>Испытание электрооборудования</t>
  </si>
  <si>
    <t>Техническое обслуживание охранной сигнализации 3000 руб * 12мес</t>
  </si>
  <si>
    <t>Обслуживание АПС  12 мес.*2700 руб.</t>
  </si>
  <si>
    <t>Санитарно-бактериалогическое исследование продуктов питания</t>
  </si>
  <si>
    <t>Огребка кровли, территории от снега, вывоз снега с территории</t>
  </si>
  <si>
    <t>Поверка весов</t>
  </si>
  <si>
    <t>Качество огнезащитной обработки</t>
  </si>
  <si>
    <t>Ремонт электро щитка</t>
  </si>
  <si>
    <t>Работы по осмотру системы канализации и чистка канализации</t>
  </si>
  <si>
    <t>Ремонт электрокипятильника</t>
  </si>
  <si>
    <t>Ремонт системы водоотведения</t>
  </si>
  <si>
    <t>Замена литиевого элемента прибора учёта</t>
  </si>
  <si>
    <t>Работы по опрессовке системы отопления, подключение отопления в здании</t>
  </si>
  <si>
    <t>Работы по ремонту системы горячего водоснабжения в подвале здания</t>
  </si>
  <si>
    <t>Прочистка канализационных труб в помещении пищеблока</t>
  </si>
  <si>
    <t>всего 225</t>
  </si>
  <si>
    <t>903-0701-0110082010-244-226</t>
  </si>
  <si>
    <t xml:space="preserve">Медосмотр сотрудников </t>
  </si>
  <si>
    <t xml:space="preserve">Санминимум, гиг. обучение и аттест-я должн. лиц </t>
  </si>
  <si>
    <t>Обучение по охр.труда и ТБ, ПТМ, услуги по обучению по доп. профессиональной программе "Менеджмент в образовании"</t>
  </si>
  <si>
    <t>Услуги охраны объектов 792,24 * 12 мес</t>
  </si>
  <si>
    <t>Подписка на газету" Кировская правда"</t>
  </si>
  <si>
    <t>Работы по переносу данных сайта, настройка сайта</t>
  </si>
  <si>
    <t>Проведение специальной оценки условий труда на рабочих местах</t>
  </si>
  <si>
    <t>всего 226</t>
  </si>
  <si>
    <t>903-0701-0110082010-244-310</t>
  </si>
  <si>
    <t>Светильники, рециркулятор</t>
  </si>
  <si>
    <t>Электрическая плита</t>
  </si>
  <si>
    <t>итого 310:</t>
  </si>
  <si>
    <t>903-0701-0110082010-244-346</t>
  </si>
  <si>
    <t>Канцтовары, бумага</t>
  </si>
  <si>
    <t>Моющие средства</t>
  </si>
  <si>
    <t>Хозтовары, маски, перчатки</t>
  </si>
  <si>
    <t>Электротовары</t>
  </si>
  <si>
    <t>Меню-требование, накладные, накопит. ведомость, бракеражный журнал</t>
  </si>
  <si>
    <t>Посуда, кастрюля</t>
  </si>
  <si>
    <t>итого 346</t>
  </si>
  <si>
    <t>903-0701-0110082010-244-344</t>
  </si>
  <si>
    <t>Строительно-отделочные материалы, сантехнические и электротехнические материалы</t>
  </si>
  <si>
    <t>итого 344</t>
  </si>
  <si>
    <t>903-1003-0160016140-244-226</t>
  </si>
  <si>
    <t>Административные расходы 1%</t>
  </si>
  <si>
    <t>итого</t>
  </si>
  <si>
    <t>903-0701-0110017140-244-310.88</t>
  </si>
  <si>
    <t>Приобретение игр,игрушек,учебников,столов детских,стульев детских</t>
  </si>
  <si>
    <t>итого:</t>
  </si>
  <si>
    <t>903-0701-0110017140-244-346.88</t>
  </si>
  <si>
    <t>Приобретение учебно-наглядных пособий, наборов игр, игрушек, канцтовары, конструкторы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</si>
</sst>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35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rgb="FFFF0000"/>
      <name val="Arial Cyr"/>
      <charset val="204"/>
    </font>
    <font>
      <sz val="9"/>
      <name val="Arial Cyr"/>
      <charset val="204"/>
    </font>
    <font>
      <sz val="9"/>
      <color rgb="FFFF0000"/>
      <name val="Arial Cyr"/>
      <charset val="204"/>
    </font>
    <font>
      <sz val="8"/>
      <color indexed="10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sz val="9"/>
      <color indexed="10"/>
      <name val="Arial Cyr"/>
      <charset val="204"/>
    </font>
    <font>
      <sz val="9"/>
      <color indexed="8"/>
      <name val="Arial Cyr"/>
      <charset val="204"/>
    </font>
    <font>
      <b/>
      <sz val="10"/>
      <color rgb="FFFF0000"/>
      <name val="Arial Cyr"/>
      <charset val="204"/>
    </font>
    <font>
      <b/>
      <sz val="9"/>
      <color rgb="FFFF000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0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2" fillId="0" borderId="2" xfId="0" applyFont="1" applyBorder="1"/>
    <xf numFmtId="0" fontId="1" fillId="2" borderId="2" xfId="0" applyFont="1" applyFill="1" applyBorder="1" applyAlignment="1">
      <alignment horizontal="left"/>
    </xf>
    <xf numFmtId="180" fontId="1" fillId="3" borderId="3" xfId="0" applyNumberFormat="1" applyFont="1" applyFill="1" applyBorder="1"/>
    <xf numFmtId="180" fontId="4" fillId="3" borderId="2" xfId="0" applyNumberFormat="1" applyFont="1" applyFill="1" applyBorder="1"/>
    <xf numFmtId="180" fontId="2" fillId="3" borderId="2" xfId="0" applyNumberFormat="1" applyFont="1" applyFill="1" applyBorder="1"/>
    <xf numFmtId="180" fontId="2" fillId="2" borderId="2" xfId="0" applyNumberFormat="1" applyFont="1" applyFill="1" applyBorder="1"/>
    <xf numFmtId="0" fontId="5" fillId="0" borderId="2" xfId="0" applyFont="1" applyBorder="1"/>
    <xf numFmtId="180" fontId="0" fillId="0" borderId="2" xfId="0" applyNumberFormat="1" applyFont="1" applyBorder="1"/>
    <xf numFmtId="180" fontId="6" fillId="0" borderId="2" xfId="0" applyNumberFormat="1" applyFont="1" applyBorder="1"/>
    <xf numFmtId="180" fontId="5" fillId="0" borderId="2" xfId="0" applyNumberFormat="1" applyFont="1" applyFill="1" applyBorder="1"/>
    <xf numFmtId="180" fontId="5" fillId="0" borderId="2" xfId="0" applyNumberFormat="1" applyFont="1" applyBorder="1" applyAlignment="1">
      <alignment horizontal="right"/>
    </xf>
    <xf numFmtId="180" fontId="7" fillId="0" borderId="2" xfId="0" applyNumberFormat="1" applyFont="1" applyBorder="1"/>
    <xf numFmtId="180" fontId="5" fillId="0" borderId="2" xfId="0" applyNumberFormat="1" applyFont="1" applyBorder="1"/>
    <xf numFmtId="180" fontId="8" fillId="0" borderId="2" xfId="0" applyNumberFormat="1" applyFont="1" applyBorder="1"/>
    <xf numFmtId="180" fontId="9" fillId="0" borderId="2" xfId="0" applyNumberFormat="1" applyFont="1" applyBorder="1"/>
    <xf numFmtId="180" fontId="8" fillId="0" borderId="2" xfId="0" applyNumberFormat="1" applyFont="1" applyBorder="1" applyAlignment="1">
      <alignment horizontal="right"/>
    </xf>
    <xf numFmtId="180" fontId="10" fillId="0" borderId="2" xfId="0" applyNumberFormat="1" applyFont="1" applyBorder="1"/>
    <xf numFmtId="0" fontId="1" fillId="3" borderId="2" xfId="0" applyFont="1" applyFill="1" applyBorder="1" applyAlignment="1">
      <alignment horizontal="left"/>
    </xf>
    <xf numFmtId="180" fontId="5" fillId="3" borderId="2" xfId="0" applyNumberFormat="1" applyFont="1" applyFill="1" applyBorder="1" applyAlignment="1"/>
    <xf numFmtId="180" fontId="6" fillId="3" borderId="2" xfId="0" applyNumberFormat="1" applyFont="1" applyFill="1" applyBorder="1" applyAlignment="1"/>
    <xf numFmtId="180" fontId="5" fillId="3" borderId="2" xfId="0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left"/>
    </xf>
    <xf numFmtId="180" fontId="5" fillId="4" borderId="2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left" wrapText="1"/>
    </xf>
    <xf numFmtId="180" fontId="5" fillId="0" borderId="1" xfId="0" applyNumberFormat="1" applyFont="1" applyBorder="1" applyAlignment="1">
      <alignment horizontal="center"/>
    </xf>
    <xf numFmtId="180" fontId="6" fillId="0" borderId="1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left" wrapText="1"/>
    </xf>
    <xf numFmtId="180" fontId="5" fillId="0" borderId="3" xfId="0" applyNumberFormat="1" applyFont="1" applyBorder="1" applyAlignment="1">
      <alignment horizontal="center"/>
    </xf>
    <xf numFmtId="180" fontId="6" fillId="0" borderId="3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left" wrapText="1"/>
    </xf>
    <xf numFmtId="180" fontId="5" fillId="0" borderId="2" xfId="0" applyNumberFormat="1" applyFont="1" applyFill="1" applyBorder="1" applyAlignment="1">
      <alignment horizontal="right"/>
    </xf>
    <xf numFmtId="180" fontId="5" fillId="0" borderId="2" xfId="0" applyNumberFormat="1" applyFont="1" applyFill="1" applyBorder="1" applyAlignment="1"/>
    <xf numFmtId="180" fontId="10" fillId="0" borderId="2" xfId="0" applyNumberFormat="1" applyFont="1" applyFill="1" applyBorder="1" applyAlignment="1">
      <alignment horizontal="right"/>
    </xf>
    <xf numFmtId="180" fontId="10" fillId="0" borderId="2" xfId="0" applyNumberFormat="1" applyFont="1" applyFill="1" applyBorder="1"/>
    <xf numFmtId="180" fontId="11" fillId="0" borderId="2" xfId="0" applyNumberFormat="1" applyFont="1" applyFill="1" applyBorder="1"/>
    <xf numFmtId="0" fontId="1" fillId="3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right"/>
    </xf>
    <xf numFmtId="180" fontId="1" fillId="0" borderId="2" xfId="0" applyNumberFormat="1" applyFont="1" applyFill="1" applyBorder="1" applyAlignment="1">
      <alignment horizontal="right"/>
    </xf>
    <xf numFmtId="180" fontId="12" fillId="0" borderId="2" xfId="0" applyNumberFormat="1" applyFont="1" applyFill="1" applyBorder="1" applyAlignment="1">
      <alignment horizontal="right"/>
    </xf>
    <xf numFmtId="180" fontId="5" fillId="3" borderId="2" xfId="0" applyNumberFormat="1" applyFont="1" applyFill="1" applyBorder="1"/>
    <xf numFmtId="49" fontId="5" fillId="0" borderId="4" xfId="0" applyNumberFormat="1" applyFont="1" applyBorder="1" applyAlignment="1">
      <alignment wrapText="1"/>
    </xf>
    <xf numFmtId="180" fontId="6" fillId="0" borderId="2" xfId="0" applyNumberFormat="1" applyFont="1" applyFill="1" applyBorder="1" applyAlignment="1"/>
    <xf numFmtId="180" fontId="5" fillId="4" borderId="2" xfId="0" applyNumberFormat="1" applyFont="1" applyFill="1" applyBorder="1"/>
    <xf numFmtId="180" fontId="10" fillId="0" borderId="2" xfId="0" applyNumberFormat="1" applyFont="1" applyFill="1" applyBorder="1" applyAlignment="1"/>
    <xf numFmtId="49" fontId="5" fillId="0" borderId="4" xfId="0" applyNumberFormat="1" applyFont="1" applyFill="1" applyBorder="1" applyAlignment="1"/>
    <xf numFmtId="49" fontId="5" fillId="0" borderId="4" xfId="0" applyNumberFormat="1" applyFont="1" applyBorder="1" applyAlignment="1"/>
    <xf numFmtId="49" fontId="5" fillId="0" borderId="4" xfId="0" applyNumberFormat="1" applyFont="1" applyBorder="1" applyAlignment="1">
      <alignment horizontal="left" wrapText="1"/>
    </xf>
    <xf numFmtId="180" fontId="0" fillId="3" borderId="2" xfId="0" applyNumberFormat="1" applyFont="1" applyFill="1" applyBorder="1" applyAlignment="1">
      <alignment horizontal="right"/>
    </xf>
    <xf numFmtId="180" fontId="0" fillId="0" borderId="2" xfId="0" applyNumberFormat="1" applyFont="1" applyFill="1" applyBorder="1" applyAlignment="1">
      <alignment horizontal="right"/>
    </xf>
    <xf numFmtId="180" fontId="10" fillId="3" borderId="2" xfId="0" applyNumberFormat="1" applyFont="1" applyFill="1" applyBorder="1" applyAlignment="1"/>
    <xf numFmtId="49" fontId="1" fillId="0" borderId="4" xfId="0" applyNumberFormat="1" applyFont="1" applyFill="1" applyBorder="1" applyAlignment="1">
      <alignment horizontal="right"/>
    </xf>
    <xf numFmtId="180" fontId="1" fillId="0" borderId="2" xfId="0" applyNumberFormat="1" applyFont="1" applyFill="1" applyBorder="1"/>
    <xf numFmtId="180" fontId="2" fillId="2" borderId="2" xfId="0" applyNumberFormat="1" applyFont="1" applyFill="1" applyBorder="1" applyAlignment="1">
      <alignment horizontal="center"/>
    </xf>
    <xf numFmtId="180" fontId="7" fillId="2" borderId="2" xfId="0" applyNumberFormat="1" applyFont="1" applyFill="1" applyBorder="1" applyAlignment="1">
      <alignment horizontal="right"/>
    </xf>
    <xf numFmtId="180" fontId="0" fillId="2" borderId="0" xfId="0" applyNumberFormat="1" applyFill="1"/>
    <xf numFmtId="180" fontId="5" fillId="0" borderId="2" xfId="0" applyNumberFormat="1" applyFont="1" applyFill="1" applyBorder="1" applyAlignment="1">
      <alignment horizontal="center"/>
    </xf>
    <xf numFmtId="180" fontId="13" fillId="0" borderId="1" xfId="0" applyNumberFormat="1" applyFont="1" applyFill="1" applyBorder="1"/>
    <xf numFmtId="180" fontId="8" fillId="4" borderId="2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/>
    <xf numFmtId="180" fontId="8" fillId="0" borderId="2" xfId="0" applyNumberFormat="1" applyFont="1" applyFill="1" applyBorder="1" applyAlignment="1">
      <alignment horizontal="center"/>
    </xf>
    <xf numFmtId="180" fontId="13" fillId="0" borderId="2" xfId="0" applyNumberFormat="1" applyFont="1" applyFill="1" applyBorder="1" applyAlignment="1"/>
    <xf numFmtId="180" fontId="8" fillId="0" borderId="2" xfId="0" applyNumberFormat="1" applyFont="1" applyFill="1" applyBorder="1"/>
    <xf numFmtId="180" fontId="5" fillId="3" borderId="2" xfId="0" applyNumberFormat="1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left" wrapText="1"/>
    </xf>
    <xf numFmtId="180" fontId="8" fillId="5" borderId="2" xfId="0" applyNumberFormat="1" applyFont="1" applyFill="1" applyBorder="1" applyAlignment="1"/>
    <xf numFmtId="180" fontId="5" fillId="4" borderId="2" xfId="0" applyNumberFormat="1" applyFont="1" applyFill="1" applyBorder="1" applyAlignment="1"/>
    <xf numFmtId="180" fontId="5" fillId="5" borderId="2" xfId="0" applyNumberFormat="1" applyFont="1" applyFill="1" applyBorder="1" applyAlignment="1"/>
    <xf numFmtId="49" fontId="8" fillId="5" borderId="4" xfId="0" applyNumberFormat="1" applyFont="1" applyFill="1" applyBorder="1" applyAlignment="1">
      <alignment horizontal="right"/>
    </xf>
    <xf numFmtId="180" fontId="5" fillId="0" borderId="2" xfId="0" applyNumberFormat="1" applyFont="1" applyBorder="1" applyAlignment="1">
      <alignment horizontal="center"/>
    </xf>
    <xf numFmtId="180" fontId="10" fillId="0" borderId="2" xfId="0" applyNumberFormat="1" applyFont="1" applyBorder="1" applyAlignment="1">
      <alignment horizontal="center"/>
    </xf>
    <xf numFmtId="49" fontId="5" fillId="0" borderId="4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horizontal="right"/>
    </xf>
    <xf numFmtId="180" fontId="8" fillId="0" borderId="2" xfId="0" applyNumberFormat="1" applyFont="1" applyBorder="1" applyAlignment="1">
      <alignment horizontal="center"/>
    </xf>
    <xf numFmtId="180" fontId="13" fillId="0" borderId="2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right"/>
    </xf>
    <xf numFmtId="180" fontId="1" fillId="0" borderId="2" xfId="0" applyNumberFormat="1" applyFont="1" applyBorder="1"/>
    <xf numFmtId="49" fontId="0" fillId="0" borderId="2" xfId="0" applyNumberFormat="1" applyFill="1" applyBorder="1" applyAlignment="1">
      <alignment horizontal="left" wrapText="1"/>
    </xf>
    <xf numFmtId="180" fontId="5" fillId="6" borderId="2" xfId="0" applyNumberFormat="1" applyFont="1" applyFill="1" applyBorder="1"/>
    <xf numFmtId="0" fontId="3" fillId="0" borderId="2" xfId="0" applyFont="1" applyBorder="1"/>
    <xf numFmtId="180" fontId="4" fillId="0" borderId="2" xfId="0" applyNumberFormat="1" applyFont="1" applyBorder="1"/>
    <xf numFmtId="180" fontId="2" fillId="0" borderId="2" xfId="0" applyNumberFormat="1" applyFont="1" applyFill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180" fontId="0" fillId="0" borderId="2" xfId="0" applyNumberFormat="1" applyFont="1" applyBorder="1" applyAlignment="1"/>
    <xf numFmtId="180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180" fontId="5" fillId="0" borderId="2" xfId="0" applyNumberFormat="1" applyFont="1" applyBorder="1" applyAlignment="1"/>
    <xf numFmtId="0" fontId="0" fillId="0" borderId="2" xfId="0" applyBorder="1"/>
    <xf numFmtId="180" fontId="8" fillId="0" borderId="2" xfId="0" applyNumberFormat="1" applyFont="1" applyBorder="1" applyAlignment="1"/>
    <xf numFmtId="180" fontId="1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topLeftCell="A7" workbookViewId="0">
      <selection activeCell="E13" sqref="E13"/>
    </sheetView>
  </sheetViews>
  <sheetFormatPr defaultColWidth="9" defaultRowHeight="15" outlineLevelCol="4"/>
  <cols>
    <col min="1" max="1" width="33.2857142857143" customWidth="1"/>
    <col min="2" max="2" width="11.7142857142857" customWidth="1"/>
    <col min="3" max="3" width="10.8571428571429" customWidth="1"/>
    <col min="4" max="4" width="14.2857142857143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/>
      <c r="B2" s="3"/>
      <c r="C2" s="3"/>
      <c r="D2" s="3"/>
      <c r="E2" s="3"/>
    </row>
    <row r="3" spans="1:5">
      <c r="A3" s="4"/>
      <c r="B3" s="4"/>
      <c r="C3" s="5"/>
      <c r="D3" s="5"/>
      <c r="E3" s="5"/>
    </row>
    <row r="4" spans="1: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>
      <c r="A5" s="9" t="s">
        <v>6</v>
      </c>
      <c r="B5" s="10"/>
      <c r="C5" s="11"/>
      <c r="D5" s="12"/>
      <c r="E5" s="13"/>
    </row>
    <row r="6" spans="1:5">
      <c r="A6" s="14" t="s">
        <v>7</v>
      </c>
      <c r="B6" s="15">
        <v>20000</v>
      </c>
      <c r="C6" s="16"/>
      <c r="D6" s="17">
        <f>1375.94+1393.66+1457.45+1424.54+1362.7+1148.64+1188.41+1351.68+502.94+1205.52+1241.3+1513.88+1438.12+649.84</f>
        <v>17254.62</v>
      </c>
      <c r="E6" s="18">
        <f>B6+C6-D6</f>
        <v>2745.38</v>
      </c>
    </row>
    <row r="7" spans="1:5">
      <c r="A7" s="14" t="s">
        <v>8</v>
      </c>
      <c r="B7" s="15">
        <v>20000</v>
      </c>
      <c r="C7" s="19">
        <v>3600</v>
      </c>
      <c r="D7" s="20">
        <f>863.14+1130.96+1169.96+1582.71+1769.71+1769.71+1769.71+1769.71+1769.71+1769.71+1769.71+1769.71+1769.71+199.27</f>
        <v>20873.43</v>
      </c>
      <c r="E7" s="18">
        <f>B7+C7-D7</f>
        <v>2726.57</v>
      </c>
    </row>
    <row r="8" spans="1:5">
      <c r="A8" s="14"/>
      <c r="B8" s="21">
        <f>B6+B7</f>
        <v>40000</v>
      </c>
      <c r="C8" s="22">
        <f>C6+C7</f>
        <v>3600</v>
      </c>
      <c r="D8" s="21">
        <f>D6+D7</f>
        <v>38128.05</v>
      </c>
      <c r="E8" s="23">
        <f>B8+C8-D8</f>
        <v>5471.95</v>
      </c>
    </row>
    <row r="9" spans="1:5">
      <c r="A9" s="9" t="s">
        <v>9</v>
      </c>
      <c r="B9" s="10"/>
      <c r="C9" s="11"/>
      <c r="D9" s="12"/>
      <c r="E9" s="13"/>
    </row>
    <row r="10" spans="1:5">
      <c r="A10" s="14" t="s">
        <v>10</v>
      </c>
      <c r="B10" s="20"/>
      <c r="C10" s="24"/>
      <c r="D10" s="20"/>
      <c r="E10" s="18"/>
    </row>
    <row r="11" spans="1:5">
      <c r="A11" s="14"/>
      <c r="B11" s="21">
        <f>B10</f>
        <v>0</v>
      </c>
      <c r="C11" s="22">
        <f>C10</f>
        <v>0</v>
      </c>
      <c r="D11" s="21">
        <f>D10</f>
        <v>0</v>
      </c>
      <c r="E11" s="23">
        <f>E10</f>
        <v>0</v>
      </c>
    </row>
    <row r="12" spans="1:5">
      <c r="A12" s="25" t="s">
        <v>11</v>
      </c>
      <c r="B12" s="26"/>
      <c r="C12" s="27"/>
      <c r="D12" s="26"/>
      <c r="E12" s="28"/>
    </row>
    <row r="13" spans="1:5">
      <c r="A13" s="29" t="s">
        <v>12</v>
      </c>
      <c r="B13" s="15">
        <v>2000</v>
      </c>
      <c r="C13" s="24">
        <f>5020+8000-680</f>
        <v>12340</v>
      </c>
      <c r="D13" s="20">
        <f>1760+2410+2610+2210+1560+3786</f>
        <v>14336</v>
      </c>
      <c r="E13" s="30">
        <f>B13+C13-D13</f>
        <v>4</v>
      </c>
    </row>
    <row r="14" spans="1:5">
      <c r="A14" s="29"/>
      <c r="B14" s="15"/>
      <c r="C14" s="24"/>
      <c r="D14" s="20"/>
      <c r="E14" s="18">
        <f>B14+C14-D14</f>
        <v>0</v>
      </c>
    </row>
    <row r="15" spans="1:5">
      <c r="A15" s="14"/>
      <c r="B15" s="21">
        <f>B13+B14</f>
        <v>2000</v>
      </c>
      <c r="C15" s="22">
        <f>C13+C14</f>
        <v>12340</v>
      </c>
      <c r="D15" s="21">
        <f>D13+D14</f>
        <v>14336</v>
      </c>
      <c r="E15" s="23">
        <f>B15+C15-D15</f>
        <v>4</v>
      </c>
    </row>
    <row r="16" spans="1:5">
      <c r="A16" s="31"/>
      <c r="B16" s="32"/>
      <c r="C16" s="33"/>
      <c r="D16" s="32"/>
      <c r="E16" s="32"/>
    </row>
    <row r="17" spans="1:5">
      <c r="A17" s="34"/>
      <c r="B17" s="35"/>
      <c r="C17" s="36"/>
      <c r="D17" s="35"/>
      <c r="E17" s="35"/>
    </row>
    <row r="18" ht="28.5" customHeight="1" spans="1:5">
      <c r="A18" s="37" t="s">
        <v>13</v>
      </c>
      <c r="B18" s="20">
        <v>1822200</v>
      </c>
      <c r="C18" s="24">
        <f>7300-7300</f>
        <v>0</v>
      </c>
      <c r="D18" s="20">
        <f>280255.26+75993.18+108898.19+171708.69+126121.64+100329.44+86129.95+145929.13+91247.42+72236.39+43637.65+37015.78+15860.65+7074.47+2958.23+4803.96+6017.59+809.09+42717.32+33086.64+152245.08+135987.47+77900</f>
        <v>1818963.22</v>
      </c>
      <c r="E18" s="38">
        <f>B18+C18-D18</f>
        <v>3236.78000000026</v>
      </c>
    </row>
    <row r="19" ht="28.5" customHeight="1" spans="1:5">
      <c r="A19" s="37" t="s">
        <v>14</v>
      </c>
      <c r="B19" s="39">
        <v>400100</v>
      </c>
      <c r="C19" s="40">
        <v>13100</v>
      </c>
      <c r="D19" s="39">
        <f>40978.44+34872.93+39320.38+35022.14+34103.98+30123.06+29640.2+18013.84+21615.01+34707.45+38510.16+38556.93</f>
        <v>395464.52</v>
      </c>
      <c r="E19" s="38">
        <f t="shared" ref="E19:E23" si="0">B19+C19-D19</f>
        <v>17735.4799999999</v>
      </c>
    </row>
    <row r="20" ht="33" customHeight="1" spans="1:5">
      <c r="A20" s="37" t="s">
        <v>15</v>
      </c>
      <c r="B20" s="39">
        <v>35800</v>
      </c>
      <c r="C20" s="40">
        <f>3400+1700</f>
        <v>5100</v>
      </c>
      <c r="D20" s="39">
        <f>3195.21+3107.67+3107.67+3122.26+1356.87+1619.49+5660.92+1955.06+1400.64+875.84+1173+1736.04+2783.92+1391.96+1720.4+3081.08+3081.17</f>
        <v>40369.2</v>
      </c>
      <c r="E20" s="38">
        <f t="shared" si="0"/>
        <v>530.799999999996</v>
      </c>
    </row>
    <row r="21" ht="27.75" customHeight="1" spans="1:5">
      <c r="A21" s="37" t="s">
        <v>16</v>
      </c>
      <c r="B21" s="17">
        <v>76000</v>
      </c>
      <c r="C21" s="41">
        <f>4700+3000</f>
        <v>7700</v>
      </c>
      <c r="D21" s="42">
        <f>6729.87+6545.49+6545.49+6576.22+2857.89+3411.03+11923.24+4117.82+2950.08+1770.16+2370.75+3508.71+5626.58+2813.29+3477.1+6227.17</f>
        <v>77450.89</v>
      </c>
      <c r="E21" s="38">
        <f t="shared" si="0"/>
        <v>6249.11</v>
      </c>
    </row>
    <row r="22" ht="30" customHeight="1" spans="1:5">
      <c r="A22" s="37" t="s">
        <v>17</v>
      </c>
      <c r="B22" s="20">
        <v>29200</v>
      </c>
      <c r="C22" s="24">
        <f>-5600-1390</f>
        <v>-6990</v>
      </c>
      <c r="D22" s="42">
        <f>1948.94+779.58+1948.95+1559.16+1559.16+1559.16+1559.16+1559.16+1418.78+1621.46+1621.46+1621.46+1621.46</f>
        <v>20377.89</v>
      </c>
      <c r="E22" s="38">
        <f t="shared" si="0"/>
        <v>1832.11</v>
      </c>
    </row>
    <row r="23" ht="96.75" customHeight="1" spans="1:5">
      <c r="A23" s="43" t="s">
        <v>18</v>
      </c>
      <c r="B23" s="20">
        <v>39100</v>
      </c>
      <c r="C23" s="24">
        <f>2000+2000+4600</f>
        <v>8600</v>
      </c>
      <c r="D23" s="42">
        <f>3366.03+713.94+3273.81+694.38+3273.81+694.38+697.64+3289.18+3135.48+665.04+1264.88+5963.56+749.8+3535.1+427.06+2071.11+1754.91+361.86+2814.18+361.86+580.28+290.14+358.6+642.22+3114.57+3146.19</f>
        <v>47240.01</v>
      </c>
      <c r="E23" s="38">
        <f t="shared" si="0"/>
        <v>459.989999999991</v>
      </c>
    </row>
    <row r="24" spans="1:5">
      <c r="A24" s="44" t="s">
        <v>19</v>
      </c>
      <c r="B24" s="45">
        <f>SUM(B18:B23)</f>
        <v>2402400</v>
      </c>
      <c r="C24" s="46">
        <f>SUM(C18:C22)+C23</f>
        <v>27510</v>
      </c>
      <c r="D24" s="45">
        <f>SUM(D18:D22)+D23</f>
        <v>2399865.73</v>
      </c>
      <c r="E24" s="45">
        <f>SUM(E18:E22)+E23</f>
        <v>30044.2700000002</v>
      </c>
    </row>
    <row r="25" spans="1:5">
      <c r="A25" s="9" t="s">
        <v>20</v>
      </c>
      <c r="B25" s="28"/>
      <c r="C25" s="27"/>
      <c r="D25" s="47"/>
      <c r="E25" s="47"/>
    </row>
    <row r="26" ht="23.25" customHeight="1" spans="1:5">
      <c r="A26" s="48" t="s">
        <v>21</v>
      </c>
      <c r="B26" s="28">
        <f>67000-10000-10400-1570</f>
        <v>45030</v>
      </c>
      <c r="C26" s="49">
        <f>-4500-660-13370</f>
        <v>-18530</v>
      </c>
      <c r="D26" s="17">
        <f>2288+1738+2310+1474+2332+2464+8769.2</f>
        <v>21375.2</v>
      </c>
      <c r="E26" s="50">
        <f>B26+C26-D26</f>
        <v>5124.8</v>
      </c>
    </row>
    <row r="27" ht="31.5" customHeight="1" spans="1:5">
      <c r="A27" s="48" t="s">
        <v>22</v>
      </c>
      <c r="B27" s="28">
        <v>9000</v>
      </c>
      <c r="C27" s="51">
        <f>-6920-1865.73-210</f>
        <v>-8995.73</v>
      </c>
      <c r="D27" s="17"/>
      <c r="E27" s="20">
        <f t="shared" ref="E27:E46" si="1">B27+C27-D27</f>
        <v>4.27000000000044</v>
      </c>
    </row>
    <row r="28" spans="1:5">
      <c r="A28" s="14" t="s">
        <v>23</v>
      </c>
      <c r="B28" s="28">
        <v>4000</v>
      </c>
      <c r="C28" s="51">
        <v>-500</v>
      </c>
      <c r="D28" s="17">
        <v>3500</v>
      </c>
      <c r="E28" s="20">
        <f t="shared" si="1"/>
        <v>0</v>
      </c>
    </row>
    <row r="29" spans="1:5">
      <c r="A29" s="52" t="s">
        <v>24</v>
      </c>
      <c r="B29" s="28">
        <v>6000</v>
      </c>
      <c r="C29" s="51">
        <f>500+350+1540</f>
        <v>2390</v>
      </c>
      <c r="D29" s="17">
        <f>762.62+762.62+762.62+762.62+762.62+762.62+762.62+762.62+762.62+762.62+762.62</f>
        <v>8388.82</v>
      </c>
      <c r="E29" s="20">
        <f t="shared" si="1"/>
        <v>1.18000000000029</v>
      </c>
    </row>
    <row r="30" ht="28.5" customHeight="1" spans="1:5">
      <c r="A30" s="48" t="s">
        <v>25</v>
      </c>
      <c r="B30" s="28">
        <v>8500</v>
      </c>
      <c r="C30" s="51"/>
      <c r="D30" s="17">
        <f>5490+3010</f>
        <v>8500</v>
      </c>
      <c r="E30" s="20">
        <f t="shared" si="1"/>
        <v>0</v>
      </c>
    </row>
    <row r="31" spans="1:5">
      <c r="A31" s="53" t="s">
        <v>26</v>
      </c>
      <c r="B31" s="28">
        <f>12000-2500</f>
        <v>9500</v>
      </c>
      <c r="C31" s="51">
        <v>-9500</v>
      </c>
      <c r="D31" s="39"/>
      <c r="E31" s="20">
        <f t="shared" si="1"/>
        <v>0</v>
      </c>
    </row>
    <row r="32" ht="29.25" customHeight="1" spans="1:5">
      <c r="A32" s="48" t="s">
        <v>27</v>
      </c>
      <c r="B32" s="28">
        <f>26000+10000</f>
        <v>36000</v>
      </c>
      <c r="C32" s="51">
        <f>490+210+60+80+1500+660</f>
        <v>3000</v>
      </c>
      <c r="D32" s="39">
        <f>3000+3000+3000+3000+3000+3000+3000+3000+3000+3000+3000+3000+3000</f>
        <v>39000</v>
      </c>
      <c r="E32" s="20">
        <f t="shared" si="1"/>
        <v>0</v>
      </c>
    </row>
    <row r="33" ht="26.25" customHeight="1" spans="1:5">
      <c r="A33" s="48" t="s">
        <v>28</v>
      </c>
      <c r="B33" s="28">
        <f>22000+10400</f>
        <v>32400</v>
      </c>
      <c r="C33" s="51">
        <v>1700</v>
      </c>
      <c r="D33" s="17">
        <f>1700+2700+2700+2700+2700+2700+2700+2700+2700+2700+2700+2700+2700</f>
        <v>34100</v>
      </c>
      <c r="E33" s="20">
        <f t="shared" si="1"/>
        <v>0</v>
      </c>
    </row>
    <row r="34" ht="29.25" customHeight="1" spans="1:5">
      <c r="A34" s="54" t="s">
        <v>29</v>
      </c>
      <c r="B34" s="28">
        <v>7300</v>
      </c>
      <c r="C34" s="51">
        <v>-7300</v>
      </c>
      <c r="D34" s="17"/>
      <c r="E34" s="20">
        <f t="shared" si="1"/>
        <v>0</v>
      </c>
    </row>
    <row r="35" ht="28.5" customHeight="1" spans="1:5">
      <c r="A35" s="48" t="s">
        <v>30</v>
      </c>
      <c r="B35" s="28">
        <v>50000</v>
      </c>
      <c r="C35" s="51">
        <f>-12100-1540-3600-4900-60</f>
        <v>-22200</v>
      </c>
      <c r="D35" s="17">
        <f>20196.95+7600</f>
        <v>27796.95</v>
      </c>
      <c r="E35" s="20">
        <f t="shared" si="1"/>
        <v>3.04999999999927</v>
      </c>
    </row>
    <row r="36" ht="20.25" customHeight="1" spans="1:5">
      <c r="A36" s="54" t="s">
        <v>31</v>
      </c>
      <c r="B36" s="28">
        <v>8000</v>
      </c>
      <c r="C36" s="51">
        <f>-350+6920</f>
        <v>6570</v>
      </c>
      <c r="D36" s="17">
        <f>7650+6920</f>
        <v>14570</v>
      </c>
      <c r="E36" s="20">
        <f t="shared" si="1"/>
        <v>0</v>
      </c>
    </row>
    <row r="37" ht="24.75" customHeight="1" spans="1:5">
      <c r="A37" s="54" t="s">
        <v>32</v>
      </c>
      <c r="B37" s="55">
        <v>6200</v>
      </c>
      <c r="C37" s="51">
        <f>-3100-910-1700-490</f>
        <v>-6200</v>
      </c>
      <c r="D37" s="17"/>
      <c r="E37" s="20">
        <f t="shared" si="1"/>
        <v>0</v>
      </c>
    </row>
    <row r="38" ht="22.5" customHeight="1" spans="1:5">
      <c r="A38" s="54" t="s">
        <v>33</v>
      </c>
      <c r="B38" s="56"/>
      <c r="C38" s="57">
        <f>6600-80</f>
        <v>6520</v>
      </c>
      <c r="D38" s="17">
        <f>6520</f>
        <v>6520</v>
      </c>
      <c r="E38" s="20">
        <f t="shared" si="1"/>
        <v>0</v>
      </c>
    </row>
    <row r="39" ht="36" customHeight="1" spans="1:5">
      <c r="A39" s="54" t="s">
        <v>34</v>
      </c>
      <c r="B39" s="55">
        <v>1570</v>
      </c>
      <c r="C39" s="51"/>
      <c r="D39" s="17">
        <v>1564.27</v>
      </c>
      <c r="E39" s="20">
        <f t="shared" si="1"/>
        <v>5.73000000000002</v>
      </c>
    </row>
    <row r="40" ht="22.5" customHeight="1" spans="1:5">
      <c r="A40" s="54" t="s">
        <v>35</v>
      </c>
      <c r="B40" s="55">
        <v>2500</v>
      </c>
      <c r="C40" s="51"/>
      <c r="D40" s="17">
        <v>2500</v>
      </c>
      <c r="E40" s="20">
        <f t="shared" si="1"/>
        <v>0</v>
      </c>
    </row>
    <row r="41" ht="27" customHeight="1" spans="1:5">
      <c r="A41" s="54" t="s">
        <v>36</v>
      </c>
      <c r="B41" s="55"/>
      <c r="C41" s="51">
        <v>12100</v>
      </c>
      <c r="D41" s="17">
        <v>12096</v>
      </c>
      <c r="E41" s="20">
        <f t="shared" si="1"/>
        <v>4</v>
      </c>
    </row>
    <row r="42" ht="30" customHeight="1" spans="1:5">
      <c r="A42" s="54" t="s">
        <v>37</v>
      </c>
      <c r="B42" s="55"/>
      <c r="C42" s="51">
        <v>4500</v>
      </c>
      <c r="D42" s="17">
        <v>4500</v>
      </c>
      <c r="E42" s="20">
        <f t="shared" si="1"/>
        <v>0</v>
      </c>
    </row>
    <row r="43" ht="51" customHeight="1" spans="1:5">
      <c r="A43" s="54" t="s">
        <v>38</v>
      </c>
      <c r="B43" s="55"/>
      <c r="C43" s="51">
        <f>10000-1500</f>
        <v>8500</v>
      </c>
      <c r="D43" s="17">
        <f>7693.7+798.09</f>
        <v>8491.79</v>
      </c>
      <c r="E43" s="20">
        <f t="shared" si="1"/>
        <v>8.21000000000095</v>
      </c>
    </row>
    <row r="44" ht="30" customHeight="1" spans="1:5">
      <c r="A44" s="54" t="s">
        <v>39</v>
      </c>
      <c r="B44" s="55"/>
      <c r="C44" s="51">
        <f>9500+1865.73</f>
        <v>11365.73</v>
      </c>
      <c r="D44" s="17">
        <v>11365.73</v>
      </c>
      <c r="E44" s="20">
        <f t="shared" si="1"/>
        <v>0</v>
      </c>
    </row>
    <row r="45" ht="29.25" customHeight="1" spans="1:5">
      <c r="A45" s="54" t="s">
        <v>40</v>
      </c>
      <c r="B45" s="55"/>
      <c r="C45" s="51">
        <v>910</v>
      </c>
      <c r="D45" s="17">
        <v>905.34</v>
      </c>
      <c r="E45" s="20">
        <f t="shared" si="1"/>
        <v>4.65999999999997</v>
      </c>
    </row>
    <row r="46" spans="1:5">
      <c r="A46" s="58" t="s">
        <v>41</v>
      </c>
      <c r="B46" s="59">
        <f>SUM(B26:B45)</f>
        <v>226000</v>
      </c>
      <c r="C46" s="59">
        <f>SUM(C26:C45)</f>
        <v>-15670</v>
      </c>
      <c r="D46" s="59">
        <f>SUM(D26:D45)</f>
        <v>205174.1</v>
      </c>
      <c r="E46" s="59">
        <f t="shared" si="1"/>
        <v>5155.89999999999</v>
      </c>
    </row>
    <row r="47" spans="1:5">
      <c r="A47" s="58"/>
      <c r="B47" s="59"/>
      <c r="C47" s="59"/>
      <c r="D47" s="59"/>
      <c r="E47" s="59"/>
    </row>
    <row r="48" spans="1:5">
      <c r="A48" s="9" t="s">
        <v>42</v>
      </c>
      <c r="B48" s="60"/>
      <c r="C48" s="61"/>
      <c r="D48" s="62"/>
      <c r="E48" s="13"/>
    </row>
    <row r="49" spans="1:5">
      <c r="A49" s="53" t="s">
        <v>43</v>
      </c>
      <c r="B49" s="63">
        <f>77000-5172</f>
        <v>71828</v>
      </c>
      <c r="C49" s="49">
        <f>6600-1402+14600-5020-2373.76-8000</f>
        <v>4404.24</v>
      </c>
      <c r="D49" s="39">
        <f>3080+23300+43200</f>
        <v>69580</v>
      </c>
      <c r="E49" s="20">
        <f>B49+C49-D49</f>
        <v>6652.24000000001</v>
      </c>
    </row>
    <row r="50" ht="30.75" customHeight="1" spans="1:5">
      <c r="A50" s="48" t="s">
        <v>44</v>
      </c>
      <c r="B50" s="63">
        <v>16500</v>
      </c>
      <c r="C50" s="51">
        <v>-14400</v>
      </c>
      <c r="D50" s="39">
        <f>370.5+1296.75+370.5</f>
        <v>2037.75</v>
      </c>
      <c r="E50" s="20">
        <f t="shared" ref="E50:E54" si="2">B50+C50-D50</f>
        <v>62.25</v>
      </c>
    </row>
    <row r="51" ht="56.25" customHeight="1" spans="1:5">
      <c r="A51" s="48" t="s">
        <v>45</v>
      </c>
      <c r="B51" s="63">
        <f>12000-840</f>
        <v>11160</v>
      </c>
      <c r="C51" s="49">
        <f>5000-400</f>
        <v>4600</v>
      </c>
      <c r="D51" s="17">
        <f>1800+5500+1600</f>
        <v>8900</v>
      </c>
      <c r="E51" s="20">
        <f t="shared" si="2"/>
        <v>6860</v>
      </c>
    </row>
    <row r="52" spans="1:5">
      <c r="A52" s="53" t="s">
        <v>46</v>
      </c>
      <c r="B52" s="63">
        <v>16500</v>
      </c>
      <c r="C52" s="64">
        <v>2513.76</v>
      </c>
      <c r="D52" s="17">
        <f>792.24+792.24+1584.48+1584.48+1584.48+1584.48+1584.48+1584.48+1584.48+1584.48+1584.48+1584.48+1584.48</f>
        <v>19013.76</v>
      </c>
      <c r="E52" s="20">
        <f t="shared" si="2"/>
        <v>0</v>
      </c>
    </row>
    <row r="53" spans="1:5">
      <c r="A53" s="53" t="s">
        <v>47</v>
      </c>
      <c r="B53" s="63">
        <f>840</f>
        <v>840</v>
      </c>
      <c r="C53" s="64">
        <v>-140</v>
      </c>
      <c r="D53" s="17">
        <v>700</v>
      </c>
      <c r="E53" s="20">
        <f t="shared" si="2"/>
        <v>0</v>
      </c>
    </row>
    <row r="54" ht="29.25" customHeight="1" spans="1:5">
      <c r="A54" s="48" t="s">
        <v>48</v>
      </c>
      <c r="B54" s="63">
        <v>5172</v>
      </c>
      <c r="C54" s="64">
        <v>1402</v>
      </c>
      <c r="D54" s="17">
        <v>6573.61</v>
      </c>
      <c r="E54" s="20">
        <f t="shared" si="2"/>
        <v>0.390000000000327</v>
      </c>
    </row>
    <row r="55" ht="40.5" customHeight="1" spans="1:5">
      <c r="A55" s="48" t="s">
        <v>49</v>
      </c>
      <c r="B55" s="63"/>
      <c r="C55" s="64">
        <f>14700-8300</f>
        <v>6400</v>
      </c>
      <c r="D55" s="17">
        <v>6394.5</v>
      </c>
      <c r="E55" s="50">
        <f t="shared" ref="E55" si="3">B55-D55+C55</f>
        <v>5.5</v>
      </c>
    </row>
    <row r="56" spans="1:5">
      <c r="A56" s="58" t="s">
        <v>50</v>
      </c>
      <c r="B56" s="65">
        <f>SUM(B49:B55)</f>
        <v>122000</v>
      </c>
      <c r="C56" s="65">
        <f>SUM(C49:C55)</f>
        <v>4780</v>
      </c>
      <c r="D56" s="65">
        <f>SUM(D49:D55)</f>
        <v>113199.62</v>
      </c>
      <c r="E56" s="65">
        <f>B56+C56-D56</f>
        <v>13580.38</v>
      </c>
    </row>
    <row r="57" spans="1:5">
      <c r="A57" s="66"/>
      <c r="B57" s="67"/>
      <c r="C57" s="68"/>
      <c r="D57" s="69"/>
      <c r="E57" s="69"/>
    </row>
    <row r="58" ht="24.75" customHeight="1" spans="1:5">
      <c r="A58" s="9" t="s">
        <v>51</v>
      </c>
      <c r="B58" s="70"/>
      <c r="C58" s="26"/>
      <c r="D58" s="26"/>
      <c r="E58" s="47"/>
    </row>
    <row r="59" ht="24.75" customHeight="1" spans="1:5">
      <c r="A59" s="71" t="s">
        <v>52</v>
      </c>
      <c r="B59" s="72"/>
      <c r="C59" s="68">
        <v>8050</v>
      </c>
      <c r="D59" s="72">
        <f>5049.12+2554.68</f>
        <v>7603.8</v>
      </c>
      <c r="E59" s="73">
        <f>B59+C59-D59</f>
        <v>446.200000000001</v>
      </c>
    </row>
    <row r="60" ht="22.5" customHeight="1" spans="1:5">
      <c r="A60" s="71" t="s">
        <v>53</v>
      </c>
      <c r="B60" s="72"/>
      <c r="C60" s="68">
        <f>26580+47120</f>
        <v>73700</v>
      </c>
      <c r="D60" s="72">
        <v>73700</v>
      </c>
      <c r="E60" s="74">
        <f t="shared" ref="E60:E61" si="4">B60+C60-D60</f>
        <v>0</v>
      </c>
    </row>
    <row r="61" spans="1:5">
      <c r="A61" s="75" t="s">
        <v>54</v>
      </c>
      <c r="B61" s="72">
        <f>SUM(B59:B60)</f>
        <v>0</v>
      </c>
      <c r="C61" s="72">
        <f>SUM(C59:C60)</f>
        <v>81750</v>
      </c>
      <c r="D61" s="72">
        <f>SUM(D59:D60)</f>
        <v>81303.8</v>
      </c>
      <c r="E61" s="72">
        <f t="shared" si="4"/>
        <v>446.199999999997</v>
      </c>
    </row>
    <row r="62" spans="1:5">
      <c r="A62" s="9" t="s">
        <v>55</v>
      </c>
      <c r="B62" s="70"/>
      <c r="C62" s="26"/>
      <c r="D62" s="26"/>
      <c r="E62" s="47"/>
    </row>
    <row r="63" spans="1:5">
      <c r="A63" s="53" t="s">
        <v>56</v>
      </c>
      <c r="B63" s="76">
        <v>3500</v>
      </c>
      <c r="C63" s="77">
        <f>4678+759</f>
        <v>5437</v>
      </c>
      <c r="D63" s="39">
        <f>3500+5420</f>
        <v>8920</v>
      </c>
      <c r="E63" s="50">
        <f>B63+C63-D63</f>
        <v>17</v>
      </c>
    </row>
    <row r="64" spans="1:5">
      <c r="A64" s="53" t="s">
        <v>57</v>
      </c>
      <c r="B64" s="76">
        <v>23000</v>
      </c>
      <c r="C64" s="77">
        <f>-4100+4610-4678</f>
        <v>-4168</v>
      </c>
      <c r="D64" s="39">
        <f>18832</f>
        <v>18832</v>
      </c>
      <c r="E64" s="50">
        <f t="shared" ref="E64:E69" si="5">B64+C64-D64</f>
        <v>0</v>
      </c>
    </row>
    <row r="65" spans="1:5">
      <c r="A65" s="53" t="s">
        <v>58</v>
      </c>
      <c r="B65" s="76">
        <v>8000</v>
      </c>
      <c r="C65" s="77">
        <v>-5360</v>
      </c>
      <c r="D65" s="39">
        <f>2639.82</f>
        <v>2639.82</v>
      </c>
      <c r="E65" s="50">
        <f t="shared" si="5"/>
        <v>0.179999999999836</v>
      </c>
    </row>
    <row r="66" spans="1:5">
      <c r="A66" s="52" t="s">
        <v>59</v>
      </c>
      <c r="B66" s="76">
        <v>11000</v>
      </c>
      <c r="C66" s="77">
        <v>-11000</v>
      </c>
      <c r="D66" s="39"/>
      <c r="E66" s="50">
        <f t="shared" si="5"/>
        <v>0</v>
      </c>
    </row>
    <row r="67" ht="33.75" customHeight="1" spans="1:5">
      <c r="A67" s="78" t="s">
        <v>60</v>
      </c>
      <c r="B67" s="76">
        <v>2500</v>
      </c>
      <c r="C67" s="77">
        <v>-759</v>
      </c>
      <c r="D67" s="39">
        <f>751+990</f>
        <v>1741</v>
      </c>
      <c r="E67" s="50">
        <f t="shared" si="5"/>
        <v>0</v>
      </c>
    </row>
    <row r="68" spans="1:5">
      <c r="A68" s="52" t="s">
        <v>61</v>
      </c>
      <c r="B68" s="76"/>
      <c r="C68" s="77"/>
      <c r="D68" s="39"/>
      <c r="E68" s="50">
        <f t="shared" si="5"/>
        <v>0</v>
      </c>
    </row>
    <row r="69" spans="1:5">
      <c r="A69" s="79" t="s">
        <v>62</v>
      </c>
      <c r="B69" s="80">
        <f>B63+B64+B65+B66+B67+B68</f>
        <v>48000</v>
      </c>
      <c r="C69" s="81">
        <f>C63+C64+C65+C66+C67+C68</f>
        <v>-15850</v>
      </c>
      <c r="D69" s="80">
        <f>D63+D64+D65+D66+D67+D68</f>
        <v>32132.82</v>
      </c>
      <c r="E69" s="69">
        <f t="shared" si="5"/>
        <v>17.1800000000003</v>
      </c>
    </row>
    <row r="70" spans="1:5">
      <c r="A70" s="82"/>
      <c r="B70" s="83"/>
      <c r="C70" s="83"/>
      <c r="D70" s="83"/>
      <c r="E70" s="83"/>
    </row>
    <row r="71" spans="1:5">
      <c r="A71" s="9" t="s">
        <v>63</v>
      </c>
      <c r="B71" s="70"/>
      <c r="C71" s="26"/>
      <c r="D71" s="26"/>
      <c r="E71" s="47"/>
    </row>
    <row r="72" ht="53.25" customHeight="1" spans="1:5">
      <c r="A72" s="84" t="s">
        <v>64</v>
      </c>
      <c r="B72" s="76">
        <v>15000</v>
      </c>
      <c r="C72" s="77">
        <f>15000+2950+9460+25490+13370</f>
        <v>66270</v>
      </c>
      <c r="D72" s="39">
        <f>13101.41+16602.12+2684.2+6808+18070+23934.68</f>
        <v>81200.41</v>
      </c>
      <c r="E72" s="85">
        <f>B72+C72-D72</f>
        <v>69.5899999999965</v>
      </c>
    </row>
    <row r="73" spans="1:5">
      <c r="A73" s="79" t="s">
        <v>65</v>
      </c>
      <c r="B73" s="80">
        <f>B72</f>
        <v>15000</v>
      </c>
      <c r="C73" s="81">
        <f>C72</f>
        <v>66270</v>
      </c>
      <c r="D73" s="21">
        <f>D72:D72</f>
        <v>81200.41</v>
      </c>
      <c r="E73" s="23">
        <f>B73+C73-D73</f>
        <v>69.5899999999965</v>
      </c>
    </row>
    <row r="74" spans="1:5">
      <c r="A74" s="9" t="s">
        <v>66</v>
      </c>
      <c r="B74" s="13"/>
      <c r="C74" s="13"/>
      <c r="D74" s="13"/>
      <c r="E74" s="13"/>
    </row>
    <row r="75" spans="1:5">
      <c r="A75" s="86" t="s">
        <v>67</v>
      </c>
      <c r="B75" s="21">
        <v>8000</v>
      </c>
      <c r="C75" s="87"/>
      <c r="D75" s="88">
        <f>36.9+69.36+10.71+272.58+49.62+350.23+10.71+8.33+99.56+157.7+351.95+43.91+83.39+8.33+92.03+21.43+328.87+114.62+76.88+3.95+206.09+184.13+59.32+3.95+10.71+192.01+63.95+3.95+205.39+16.12+58.43+3.95+56.38+49.78+61.48+45.98+28.66+28.74+100.93+27.25+20.63+126.62+19.93+27.25+141.74+21.93+9.72+68.84+22.28+180.366+46.42+4.86+42.38+132.88</f>
        <v>4464.106</v>
      </c>
      <c r="E75" s="20">
        <f>B75+C75-D75</f>
        <v>3535.894</v>
      </c>
    </row>
    <row r="76" spans="1:5">
      <c r="A76" s="89" t="s">
        <v>68</v>
      </c>
      <c r="B76" s="20">
        <f>SUM(B75)</f>
        <v>8000</v>
      </c>
      <c r="C76" s="87">
        <f>SUM(C75)</f>
        <v>0</v>
      </c>
      <c r="D76" s="88">
        <f>SUM(D75)</f>
        <v>4464.106</v>
      </c>
      <c r="E76" s="20">
        <f>SUM(E75)</f>
        <v>3535.894</v>
      </c>
    </row>
    <row r="77" spans="1:5">
      <c r="A77" s="9" t="s">
        <v>69</v>
      </c>
      <c r="B77" s="13"/>
      <c r="C77" s="13"/>
      <c r="D77" s="13"/>
      <c r="E77" s="13"/>
    </row>
    <row r="78" ht="40.5" customHeight="1" spans="1:5">
      <c r="A78" s="90" t="s">
        <v>70</v>
      </c>
      <c r="B78" s="91">
        <v>50000</v>
      </c>
      <c r="C78" s="92">
        <v>1213.7</v>
      </c>
      <c r="D78" s="17">
        <f>19800+20172+5559.7+5682</f>
        <v>51213.7</v>
      </c>
      <c r="E78" s="20">
        <f>B78+C78-D78</f>
        <v>0</v>
      </c>
    </row>
    <row r="79" spans="1:5">
      <c r="A79" s="93"/>
      <c r="B79" s="94"/>
      <c r="C79" s="92"/>
      <c r="D79" s="95"/>
      <c r="E79" s="20">
        <f>B79+C79-D79</f>
        <v>0</v>
      </c>
    </row>
    <row r="80" spans="1:5">
      <c r="A80" s="93" t="s">
        <v>71</v>
      </c>
      <c r="B80" s="96">
        <f>B78</f>
        <v>50000</v>
      </c>
      <c r="C80" s="97">
        <f>C78</f>
        <v>1213.7</v>
      </c>
      <c r="D80" s="83">
        <f>SUM(D78:D79)</f>
        <v>51213.7</v>
      </c>
      <c r="E80" s="21">
        <f>B80+C80-D80</f>
        <v>0</v>
      </c>
    </row>
    <row r="82" spans="1:5">
      <c r="A82" s="9" t="s">
        <v>72</v>
      </c>
      <c r="B82" s="13"/>
      <c r="C82" s="13"/>
      <c r="D82" s="13"/>
      <c r="E82" s="13"/>
    </row>
    <row r="83" ht="43.5" customHeight="1" spans="1:5">
      <c r="A83" s="98" t="s">
        <v>73</v>
      </c>
      <c r="B83" s="94">
        <v>58500</v>
      </c>
      <c r="C83" s="16">
        <v>-1213.7</v>
      </c>
      <c r="D83" s="88">
        <f>9151.73+11084.9+11014+2371.5+19447+4217.17</f>
        <v>57286.3</v>
      </c>
      <c r="E83" s="20">
        <f>B83+C83-D83</f>
        <v>0</v>
      </c>
    </row>
    <row r="84" spans="1:5">
      <c r="A84" s="93"/>
      <c r="B84" s="94"/>
      <c r="C84" s="95"/>
      <c r="D84" s="95"/>
      <c r="E84" s="8"/>
    </row>
    <row r="85" spans="1:5">
      <c r="A85" s="93" t="s">
        <v>71</v>
      </c>
      <c r="B85" s="96">
        <f>B83+B84</f>
        <v>58500</v>
      </c>
      <c r="C85" s="97">
        <f>C83</f>
        <v>-1213.7</v>
      </c>
      <c r="D85" s="83">
        <f>D83</f>
        <v>57286.3</v>
      </c>
      <c r="E85" s="21">
        <f>B85+C85-D85</f>
        <v>0</v>
      </c>
    </row>
  </sheetData>
  <mergeCells count="7">
    <mergeCell ref="A1:E1"/>
    <mergeCell ref="C3:E3"/>
    <mergeCell ref="A16:A17"/>
    <mergeCell ref="B16:B17"/>
    <mergeCell ref="C16:C17"/>
    <mergeCell ref="D16:D17"/>
    <mergeCell ref="E16:E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расходы 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2024-04-12T06:54:04Z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B8BE8AC38AD54D80811CB845ADE08AD4_12</vt:lpwstr>
  </property>
  <property fmtid="{D5CDD505-2E9C-101B-9397-08002B2CF9AE}" pid="3" name="KSOProductBuildVer">
    <vt:lpwstr>1049-12.2.0.16731</vt:lpwstr>
  </property>
</Properties>
</file>